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秩父十石（2008）" sheetId="1" r:id="rId1"/>
    <sheet name="糸魚川（2008）" sheetId="2" r:id="rId2"/>
    <sheet name="上信越（2007）" sheetId="3" r:id="rId3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9" authorId="0">
      <text>
        <r>
          <rPr>
            <b/>
            <sz val="9"/>
            <rFont val="ＭＳ Ｐゴシック"/>
            <family val="3"/>
          </rPr>
          <t>まさる :</t>
        </r>
        <r>
          <rPr>
            <sz val="9"/>
            <rFont val="ＭＳ Ｐゴシック"/>
            <family val="3"/>
          </rPr>
          <t xml:space="preserve">
赤字は地図の等高線から導き出した推測値</t>
        </r>
      </text>
    </comment>
    <comment ref="D11" authorId="0">
      <text>
        <r>
          <rPr>
            <b/>
            <sz val="9"/>
            <rFont val="ＭＳ Ｐゴシック"/>
            <family val="3"/>
          </rPr>
          <t xml:space="preserve"> まさる:</t>
        </r>
        <r>
          <rPr>
            <sz val="9"/>
            <rFont val="ＭＳ Ｐゴシック"/>
            <family val="3"/>
          </rPr>
          <t xml:space="preserve">
赤字は地図の等高線から導き出した推測値</t>
        </r>
      </text>
    </comment>
    <comment ref="D15" authorId="0">
      <text>
        <r>
          <rPr>
            <b/>
            <sz val="9"/>
            <rFont val="ＭＳ Ｐゴシック"/>
            <family val="3"/>
          </rPr>
          <t xml:space="preserve"> まさる:</t>
        </r>
        <r>
          <rPr>
            <sz val="9"/>
            <rFont val="ＭＳ Ｐゴシック"/>
            <family val="3"/>
          </rPr>
          <t xml:space="preserve">
赤字は地図の等高線から導き出した推測値</t>
        </r>
      </text>
    </comment>
  </commentList>
</comments>
</file>

<file path=xl/sharedStrings.xml><?xml version="1.0" encoding="utf-8"?>
<sst xmlns="http://schemas.openxmlformats.org/spreadsheetml/2006/main" count="165" uniqueCount="80">
  <si>
    <t>基点</t>
  </si>
  <si>
    <t>通過予想時刻</t>
  </si>
  <si>
    <t>スタート時刻→</t>
  </si>
  <si>
    <t>中軽井沢</t>
  </si>
  <si>
    <t>浅間越</t>
  </si>
  <si>
    <t>√292草津道路入口（大津）</t>
  </si>
  <si>
    <t>草津</t>
  </si>
  <si>
    <t>渋峠</t>
  </si>
  <si>
    <t>湯田中</t>
  </si>
  <si>
    <t>平坦</t>
  </si>
  <si>
    <t>上り</t>
  </si>
  <si>
    <t>下り</t>
  </si>
  <si>
    <t>区分</t>
  </si>
  <si>
    <t>平均速度</t>
  </si>
  <si>
    <t>戸狩野沢温泉駅</t>
  </si>
  <si>
    <t>関田峠</t>
  </si>
  <si>
    <t>板倉交差点</t>
  </si>
  <si>
    <t>ホテル</t>
  </si>
  <si>
    <t>総タイム(H)</t>
  </si>
  <si>
    <t>総距離(km)</t>
  </si>
  <si>
    <t>区間距離(km)</t>
  </si>
  <si>
    <t>標高(m)</t>
  </si>
  <si>
    <t>区間のタイム(H)</t>
  </si>
  <si>
    <t>↓　赤字は地図の等高線から導き出した推測値</t>
  </si>
  <si>
    <t>↓　あくまでも推測。小まめに替えると良いかも</t>
  </si>
  <si>
    <t>やや上り</t>
  </si>
  <si>
    <t>激下り</t>
  </si>
  <si>
    <t>休息予定</t>
  </si>
  <si>
    <t>道の駅</t>
  </si>
  <si>
    <t>区間距離</t>
  </si>
  <si>
    <t>東京深大寺</t>
  </si>
  <si>
    <t>東京国分寺栄町</t>
  </si>
  <si>
    <t>航空公園（宮本町）√463分岐</t>
  </si>
  <si>
    <t>入間市（河原町）√407分岐</t>
  </si>
  <si>
    <t>東松山（上野本）√254分岐</t>
  </si>
  <si>
    <t>寄居（公会堂前）√140交差</t>
  </si>
  <si>
    <t>上州富岡駅</t>
  </si>
  <si>
    <t>横川駅</t>
  </si>
  <si>
    <t>碓氷峠</t>
  </si>
  <si>
    <t>コンビニ</t>
  </si>
  <si>
    <t>おぎのやドライブイン</t>
  </si>
  <si>
    <t>ローソン</t>
  </si>
  <si>
    <t>平均時速</t>
  </si>
  <si>
    <t>甲州街道（下石原交番前）</t>
  </si>
  <si>
    <t>甲州街道（本宿交番前）</t>
  </si>
  <si>
    <t>高尾山口駅</t>
  </si>
  <si>
    <t>大垂水峠</t>
  </si>
  <si>
    <t>相模湖駅前</t>
  </si>
  <si>
    <t>大月</t>
  </si>
  <si>
    <t>笹子トンネル分岐</t>
  </si>
  <si>
    <t>笹子峠</t>
  </si>
  <si>
    <t>石和温泉</t>
  </si>
  <si>
    <t>韮崎</t>
  </si>
  <si>
    <t>富士見峠</t>
  </si>
  <si>
    <t>茅野</t>
  </si>
  <si>
    <t>下諏訪</t>
  </si>
  <si>
    <t>塩尻峠</t>
  </si>
  <si>
    <t>塩尻</t>
  </si>
  <si>
    <t>穂高</t>
  </si>
  <si>
    <t>青木湖</t>
  </si>
  <si>
    <t>南小谷</t>
  </si>
  <si>
    <t>平岩</t>
  </si>
  <si>
    <t>糸魚川</t>
  </si>
  <si>
    <t>直江津</t>
  </si>
  <si>
    <t>青梅ＩＣ</t>
  </si>
  <si>
    <t>小沢峠</t>
  </si>
  <si>
    <t>山伏峠下</t>
  </si>
  <si>
    <t>山伏峠</t>
  </si>
  <si>
    <t>横瀬</t>
  </si>
  <si>
    <t>小野鹿町　志賀坂峠下</t>
  </si>
  <si>
    <t>志賀坂峠</t>
  </si>
  <si>
    <t>中里支所√299合流</t>
  </si>
  <si>
    <t>十石峠下</t>
  </si>
  <si>
    <t>十石峠</t>
  </si>
  <si>
    <t>甲斐瀬</t>
  </si>
  <si>
    <t>小諸</t>
  </si>
  <si>
    <t>上田</t>
  </si>
  <si>
    <t>外狩野沢温泉</t>
  </si>
  <si>
    <t>関田峠</t>
  </si>
  <si>
    <t>新井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</si>
</sst>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_);[Red]\(0.00\)"/>
    <numFmt numFmtId="187" formatCode="h&quot;時&quot;mm&quot;分&quot;;@"/>
    <numFmt numFmtId="188" formatCode="0;&quot;▲ &quot;0"/>
    <numFmt numFmtId="189" formatCode="0.0000_ "/>
    <numFmt numFmtId="190" formatCode="0.000_ "/>
    <numFmt numFmtId="191" formatCode="0.00_ "/>
    <numFmt numFmtId="192" formatCode="0.0000000_ "/>
    <numFmt numFmtId="193" formatCode="0.000000_ "/>
    <numFmt numFmtId="194" formatCode="0.00000_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ゴシック"/>
      <family val="3"/>
    </font>
    <font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176" fontId="0" fillId="4" borderId="11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7" fontId="0" fillId="4" borderId="11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177" fontId="0" fillId="0" borderId="11" xfId="0" applyNumberFormat="1" applyBorder="1" applyAlignment="1">
      <alignment/>
    </xf>
    <xf numFmtId="177" fontId="0" fillId="4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0" fontId="2" fillId="4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23" borderId="0" xfId="0" applyFont="1" applyFill="1" applyAlignment="1">
      <alignment/>
    </xf>
    <xf numFmtId="0" fontId="6" fillId="23" borderId="14" xfId="0" applyFont="1" applyFill="1" applyBorder="1" applyAlignment="1">
      <alignment horizontal="center"/>
    </xf>
    <xf numFmtId="0" fontId="6" fillId="23" borderId="15" xfId="0" applyFont="1" applyFill="1" applyBorder="1" applyAlignment="1">
      <alignment horizontal="center" wrapText="1"/>
    </xf>
    <xf numFmtId="0" fontId="6" fillId="23" borderId="15" xfId="0" applyFont="1" applyFill="1" applyBorder="1" applyAlignment="1">
      <alignment horizontal="center"/>
    </xf>
    <xf numFmtId="0" fontId="6" fillId="23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7" fontId="0" fillId="0" borderId="11" xfId="0" applyNumberFormat="1" applyBorder="1" applyAlignment="1">
      <alignment/>
    </xf>
    <xf numFmtId="187" fontId="0" fillId="4" borderId="11" xfId="0" applyNumberFormat="1" applyFill="1" applyBorder="1" applyAlignment="1">
      <alignment/>
    </xf>
    <xf numFmtId="187" fontId="0" fillId="0" borderId="13" xfId="0" applyNumberFormat="1" applyBorder="1" applyAlignment="1">
      <alignment/>
    </xf>
    <xf numFmtId="187" fontId="0" fillId="4" borderId="17" xfId="0" applyNumberFormat="1" applyFill="1" applyBorder="1" applyAlignment="1">
      <alignment/>
    </xf>
    <xf numFmtId="187" fontId="0" fillId="0" borderId="17" xfId="0" applyNumberFormat="1" applyBorder="1" applyAlignment="1">
      <alignment/>
    </xf>
    <xf numFmtId="187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6" fillId="2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2" fontId="0" fillId="0" borderId="0" xfId="0" applyNumberFormat="1" applyAlignment="1">
      <alignment horizontal="center"/>
    </xf>
    <xf numFmtId="32" fontId="6" fillId="23" borderId="0" xfId="0" applyNumberFormat="1" applyFont="1" applyFill="1" applyAlignment="1">
      <alignment horizontal="center"/>
    </xf>
    <xf numFmtId="32" fontId="0" fillId="4" borderId="0" xfId="0" applyNumberFormat="1" applyFill="1" applyAlignment="1">
      <alignment horizontal="center"/>
    </xf>
    <xf numFmtId="176" fontId="0" fillId="4" borderId="0" xfId="0" applyNumberFormat="1" applyFill="1" applyAlignment="1">
      <alignment horizontal="center"/>
    </xf>
    <xf numFmtId="32" fontId="0" fillId="21" borderId="19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/>
    </xf>
    <xf numFmtId="188" fontId="0" fillId="0" borderId="11" xfId="0" applyNumberFormat="1" applyBorder="1" applyAlignment="1">
      <alignment/>
    </xf>
    <xf numFmtId="188" fontId="2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0" fillId="4" borderId="0" xfId="0" applyFill="1" applyAlignment="1">
      <alignment horizontal="left"/>
    </xf>
    <xf numFmtId="191" fontId="10" fillId="21" borderId="0" xfId="0" applyNumberFormat="1" applyFont="1" applyFill="1" applyAlignment="1">
      <alignment/>
    </xf>
    <xf numFmtId="0" fontId="0" fillId="21" borderId="20" xfId="0" applyFill="1" applyBorder="1" applyAlignment="1">
      <alignment/>
    </xf>
    <xf numFmtId="2" fontId="0" fillId="4" borderId="11" xfId="0" applyNumberFormat="1" applyFont="1" applyFill="1" applyBorder="1" applyAlignment="1">
      <alignment/>
    </xf>
    <xf numFmtId="0" fontId="0" fillId="4" borderId="11" xfId="0" applyFont="1" applyFill="1" applyBorder="1" applyAlignment="1">
      <alignment/>
    </xf>
    <xf numFmtId="187" fontId="0" fillId="0" borderId="11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187" fontId="0" fillId="0" borderId="17" xfId="0" applyNumberFormat="1" applyFont="1" applyBorder="1" applyAlignment="1">
      <alignment/>
    </xf>
    <xf numFmtId="187" fontId="0" fillId="4" borderId="17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22" xfId="0" applyNumberFormat="1" applyFon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23" xfId="0" applyNumberFormat="1" applyBorder="1" applyAlignment="1">
      <alignment/>
    </xf>
    <xf numFmtId="188" fontId="0" fillId="0" borderId="13" xfId="0" applyNumberFormat="1" applyFont="1" applyBorder="1" applyAlignment="1">
      <alignment/>
    </xf>
    <xf numFmtId="0" fontId="0" fillId="4" borderId="11" xfId="0" applyFont="1" applyFill="1" applyBorder="1" applyAlignment="1">
      <alignment/>
    </xf>
    <xf numFmtId="177" fontId="0" fillId="4" borderId="10" xfId="0" applyNumberFormat="1" applyFont="1" applyFill="1" applyBorder="1" applyAlignment="1">
      <alignment/>
    </xf>
    <xf numFmtId="32" fontId="6" fillId="23" borderId="24" xfId="0" applyNumberFormat="1" applyFont="1" applyFill="1" applyBorder="1" applyAlignment="1">
      <alignment horizontal="center"/>
    </xf>
    <xf numFmtId="32" fontId="0" fillId="4" borderId="25" xfId="0" applyNumberFormat="1" applyFill="1" applyBorder="1" applyAlignment="1">
      <alignment horizontal="center"/>
    </xf>
    <xf numFmtId="32" fontId="0" fillId="0" borderId="25" xfId="0" applyNumberFormat="1" applyBorder="1" applyAlignment="1">
      <alignment horizontal="center"/>
    </xf>
    <xf numFmtId="32" fontId="0" fillId="0" borderId="26" xfId="0" applyNumberFormat="1" applyBorder="1" applyAlignment="1">
      <alignment horizontal="center"/>
    </xf>
    <xf numFmtId="32" fontId="28" fillId="23" borderId="24" xfId="0" applyNumberFormat="1" applyFont="1" applyFill="1" applyBorder="1" applyAlignment="1">
      <alignment horizontal="center"/>
    </xf>
    <xf numFmtId="32" fontId="2" fillId="4" borderId="25" xfId="0" applyNumberFormat="1" applyFont="1" applyFill="1" applyBorder="1" applyAlignment="1">
      <alignment horizontal="center"/>
    </xf>
    <xf numFmtId="32" fontId="2" fillId="0" borderId="25" xfId="0" applyNumberFormat="1" applyFont="1" applyBorder="1" applyAlignment="1">
      <alignment horizontal="center"/>
    </xf>
    <xf numFmtId="32" fontId="2" fillId="0" borderId="2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workbookViewId="0" topLeftCell="A1">
      <selection activeCell="F43" sqref="F43"/>
    </sheetView>
  </sheetViews>
  <sheetFormatPr defaultColWidth="9.00390625" defaultRowHeight="13.5"/>
  <cols>
    <col min="1" max="1" width="8.00390625" style="0" customWidth="1"/>
    <col min="2" max="2" width="9.50390625" style="0" customWidth="1"/>
    <col min="3" max="3" width="23.00390625" style="0" customWidth="1"/>
    <col min="4" max="4" width="9.125" style="56" customWidth="1"/>
    <col min="5" max="5" width="15.75390625" style="0" customWidth="1"/>
    <col min="6" max="6" width="12.875" style="0" bestFit="1" customWidth="1"/>
    <col min="7" max="7" width="18.75390625" style="0" bestFit="1" customWidth="1"/>
    <col min="8" max="8" width="14.00390625" style="0" bestFit="1" customWidth="1"/>
    <col min="9" max="9" width="15.00390625" style="0" bestFit="1" customWidth="1"/>
    <col min="10" max="11" width="10.625" style="34" customWidth="1"/>
  </cols>
  <sheetData>
    <row r="1" spans="2:11" s="22" customFormat="1" ht="13.5">
      <c r="B1" s="23" t="s">
        <v>24</v>
      </c>
      <c r="D1" s="52" t="s">
        <v>23</v>
      </c>
      <c r="H1" s="22" t="s">
        <v>2</v>
      </c>
      <c r="I1" s="38">
        <v>0.08333333333333333</v>
      </c>
      <c r="J1" s="34"/>
      <c r="K1" s="34"/>
    </row>
    <row r="2" spans="1:11" s="17" customFormat="1" ht="13.5">
      <c r="A2" s="18" t="s">
        <v>12</v>
      </c>
      <c r="B2" s="19" t="s">
        <v>13</v>
      </c>
      <c r="C2" s="20" t="s">
        <v>0</v>
      </c>
      <c r="D2" s="20" t="s">
        <v>21</v>
      </c>
      <c r="E2" s="20" t="s">
        <v>20</v>
      </c>
      <c r="F2" s="20" t="s">
        <v>19</v>
      </c>
      <c r="G2" s="20" t="s">
        <v>22</v>
      </c>
      <c r="H2" s="20" t="s">
        <v>18</v>
      </c>
      <c r="I2" s="21" t="s">
        <v>1</v>
      </c>
      <c r="J2" s="35" t="s">
        <v>27</v>
      </c>
      <c r="K2" s="65"/>
    </row>
    <row r="3" spans="1:11" s="1" customFormat="1" ht="13.5">
      <c r="A3" s="2" t="s">
        <v>9</v>
      </c>
      <c r="B3" s="3">
        <f>IF(A3="平坦",25.5,IF(A3="上り",10,IF(A3="やや上り",20,IF(A3="激下り",40,35))))</f>
        <v>25.5</v>
      </c>
      <c r="C3" s="4" t="s">
        <v>30</v>
      </c>
      <c r="D3" s="47">
        <v>49</v>
      </c>
      <c r="E3" s="4"/>
      <c r="F3" s="4"/>
      <c r="G3" s="4"/>
      <c r="H3" s="4"/>
      <c r="I3" s="28"/>
      <c r="J3" s="36"/>
      <c r="K3" s="66"/>
    </row>
    <row r="4" spans="1:11" ht="13.5">
      <c r="A4" s="5"/>
      <c r="B4" s="6"/>
      <c r="C4" s="7"/>
      <c r="D4" s="53">
        <f>D5-D3</f>
        <v>116</v>
      </c>
      <c r="E4" s="39">
        <v>32.56</v>
      </c>
      <c r="F4" s="7"/>
      <c r="G4" s="25">
        <f>E4/B5/24</f>
        <v>0.05320261437908497</v>
      </c>
      <c r="H4" s="25"/>
      <c r="I4" s="29"/>
      <c r="K4" s="67"/>
    </row>
    <row r="5" spans="1:11" s="1" customFormat="1" ht="13.5">
      <c r="A5" s="2" t="s">
        <v>9</v>
      </c>
      <c r="B5" s="3">
        <f>IF(A5="平坦",25.5,IF(A5="上り",10,IF(A5="やや上り",20,IF(A5="激下り",40,35))))</f>
        <v>25.5</v>
      </c>
      <c r="C5" s="4" t="s">
        <v>64</v>
      </c>
      <c r="D5" s="47">
        <v>165</v>
      </c>
      <c r="E5" s="3"/>
      <c r="F5" s="8">
        <f>F3+E4</f>
        <v>32.56</v>
      </c>
      <c r="G5" s="9"/>
      <c r="H5" s="26">
        <f>G4+J5+K5</f>
        <v>0.05320261437908497</v>
      </c>
      <c r="I5" s="28">
        <f>$I$1+H5+J5</f>
        <v>0.13653594771241828</v>
      </c>
      <c r="J5" s="36"/>
      <c r="K5" s="66"/>
    </row>
    <row r="6" spans="1:11" ht="13.5">
      <c r="A6" s="5"/>
      <c r="B6" s="6"/>
      <c r="C6" s="7"/>
      <c r="D6" s="53">
        <f>D7-D5</f>
        <v>233</v>
      </c>
      <c r="E6" s="39">
        <v>14.29</v>
      </c>
      <c r="F6" s="10"/>
      <c r="G6" s="25">
        <f>E6/B7/24</f>
        <v>0.02977083333333333</v>
      </c>
      <c r="H6" s="25"/>
      <c r="I6" s="29"/>
      <c r="K6" s="67"/>
    </row>
    <row r="7" spans="1:11" s="1" customFormat="1" ht="13.5">
      <c r="A7" s="2" t="s">
        <v>25</v>
      </c>
      <c r="B7" s="3">
        <f>IF(A7="平坦",25.5,IF(A7="上り",10,IF(A7="やや上り",20,IF(A7="激下り",40,35))))</f>
        <v>20</v>
      </c>
      <c r="C7" s="4" t="s">
        <v>65</v>
      </c>
      <c r="D7" s="47">
        <v>398</v>
      </c>
      <c r="E7" s="3"/>
      <c r="F7" s="8">
        <f>F5+E6</f>
        <v>46.85</v>
      </c>
      <c r="G7" s="9"/>
      <c r="H7" s="26">
        <f>H5+G6+J7+K7</f>
        <v>0.09200122549019607</v>
      </c>
      <c r="I7" s="28">
        <f>$I$1+H7+J7</f>
        <v>0.1788067810457516</v>
      </c>
      <c r="J7" s="36">
        <v>0.003472222222222222</v>
      </c>
      <c r="K7" s="70">
        <v>0.005555555555555556</v>
      </c>
    </row>
    <row r="8" spans="1:11" ht="13.5">
      <c r="A8" s="12"/>
      <c r="B8" s="6"/>
      <c r="C8" s="7"/>
      <c r="D8" s="54">
        <f>D9-D7</f>
        <v>-71</v>
      </c>
      <c r="E8" s="39">
        <v>10.28</v>
      </c>
      <c r="F8" s="10"/>
      <c r="G8" s="25">
        <f>E8/B9/24</f>
        <v>0.021416666666666667</v>
      </c>
      <c r="H8" s="25"/>
      <c r="I8" s="29"/>
      <c r="K8" s="67"/>
    </row>
    <row r="9" spans="1:11" s="1" customFormat="1" ht="13.5">
      <c r="A9" s="2" t="s">
        <v>25</v>
      </c>
      <c r="B9" s="3">
        <f>IF(A9="平坦",25.5,IF(A9="上り",10,IF(A9="やや上り",20,IF(A9="激下り",40,35))))</f>
        <v>20</v>
      </c>
      <c r="C9" s="4" t="s">
        <v>66</v>
      </c>
      <c r="D9" s="47">
        <v>327</v>
      </c>
      <c r="E9" s="3"/>
      <c r="F9" s="8">
        <f>F7+E8</f>
        <v>57.13</v>
      </c>
      <c r="G9" s="9"/>
      <c r="H9" s="26">
        <f>H7+G8+J9+K9</f>
        <v>0.11341789215686274</v>
      </c>
      <c r="I9" s="28">
        <f>$I$1+H9+J9</f>
        <v>0.19675122549019608</v>
      </c>
      <c r="J9" s="36"/>
      <c r="K9" s="66"/>
    </row>
    <row r="10" spans="1:11" ht="13.5">
      <c r="A10" s="12"/>
      <c r="B10" s="6"/>
      <c r="C10" s="7"/>
      <c r="D10" s="54">
        <f>D11-D9</f>
        <v>267</v>
      </c>
      <c r="E10" s="39">
        <v>4.57</v>
      </c>
      <c r="F10" s="10"/>
      <c r="G10" s="25">
        <f>E10/B11/24</f>
        <v>0.01904166666666667</v>
      </c>
      <c r="H10" s="25"/>
      <c r="I10" s="29"/>
      <c r="K10" s="67"/>
    </row>
    <row r="11" spans="1:11" s="1" customFormat="1" ht="13.5">
      <c r="A11" s="64" t="s">
        <v>10</v>
      </c>
      <c r="B11" s="3">
        <f>IF(A11="平坦",25.5,IF(A11="上り",10,IF(A11="やや上り",20,IF(A11="激下り",40,35))))</f>
        <v>10</v>
      </c>
      <c r="C11" s="63" t="s">
        <v>67</v>
      </c>
      <c r="D11" s="47">
        <v>594</v>
      </c>
      <c r="E11" s="3"/>
      <c r="F11" s="8">
        <f>F9+E10</f>
        <v>61.7</v>
      </c>
      <c r="G11" s="9"/>
      <c r="H11" s="26">
        <f>H9+G10+J11+K11</f>
        <v>0.14495955882352943</v>
      </c>
      <c r="I11" s="28">
        <f>$I$1+H11+J11</f>
        <v>0.23523733660130722</v>
      </c>
      <c r="J11" s="36">
        <v>0.006944444444444444</v>
      </c>
      <c r="K11" s="70">
        <v>0.005555555555555556</v>
      </c>
    </row>
    <row r="12" spans="1:11" ht="13.5">
      <c r="A12" s="12"/>
      <c r="B12" s="6"/>
      <c r="C12" s="7"/>
      <c r="D12" s="54">
        <f>D13-D11</f>
        <v>-366</v>
      </c>
      <c r="E12" s="39">
        <v>12</v>
      </c>
      <c r="F12" s="10"/>
      <c r="G12" s="25">
        <f>E12/B13/24</f>
        <v>0.014285714285714285</v>
      </c>
      <c r="H12" s="25"/>
      <c r="I12" s="50"/>
      <c r="K12" s="67"/>
    </row>
    <row r="13" spans="1:11" s="1" customFormat="1" ht="13.5">
      <c r="A13" s="64" t="s">
        <v>11</v>
      </c>
      <c r="B13" s="3">
        <f>IF(A13="平坦",25.5,IF(A13="上り",10,IF(A13="やや上り",20,IF(A13="激下り",40,35))))</f>
        <v>35</v>
      </c>
      <c r="C13" s="63" t="s">
        <v>68</v>
      </c>
      <c r="D13" s="47">
        <v>228</v>
      </c>
      <c r="E13" s="3"/>
      <c r="F13" s="8">
        <f>F11+E12</f>
        <v>73.7</v>
      </c>
      <c r="G13" s="9"/>
      <c r="H13" s="26">
        <f>H11+G12+J13+K13</f>
        <v>0.15924527310924372</v>
      </c>
      <c r="I13" s="28">
        <f>$I$1+H13+J13</f>
        <v>0.24257860644257706</v>
      </c>
      <c r="J13" s="36"/>
      <c r="K13" s="66"/>
    </row>
    <row r="14" spans="1:11" ht="13.5">
      <c r="A14" s="12"/>
      <c r="B14" s="6"/>
      <c r="C14" s="7"/>
      <c r="D14" s="53">
        <f>D15-D13</f>
        <v>191</v>
      </c>
      <c r="E14" s="39">
        <v>29.13</v>
      </c>
      <c r="F14" s="10"/>
      <c r="G14" s="25">
        <f>E14/B15/24</f>
        <v>0.060687499999999985</v>
      </c>
      <c r="H14" s="25"/>
      <c r="I14" s="50"/>
      <c r="K14" s="67"/>
    </row>
    <row r="15" spans="1:11" s="1" customFormat="1" ht="13.5">
      <c r="A15" s="64" t="s">
        <v>25</v>
      </c>
      <c r="B15" s="3">
        <f>IF(A15="平坦",25.5,IF(A15="上り",10,IF(A15="やや上り",20,IF(A15="激下り",40,35))))</f>
        <v>20</v>
      </c>
      <c r="C15" s="63" t="s">
        <v>69</v>
      </c>
      <c r="D15" s="47">
        <v>419</v>
      </c>
      <c r="E15" s="3"/>
      <c r="F15" s="8">
        <f>F13+E14</f>
        <v>102.83</v>
      </c>
      <c r="G15" s="9"/>
      <c r="H15" s="26">
        <f>H13+G14+J15+K15</f>
        <v>0.22548832866479926</v>
      </c>
      <c r="I15" s="28">
        <f>$I$1+H15+J15</f>
        <v>0.3088216619981326</v>
      </c>
      <c r="J15" s="36"/>
      <c r="K15" s="70">
        <v>0.005555555555555556</v>
      </c>
    </row>
    <row r="16" spans="1:11" ht="13.5">
      <c r="A16" s="12"/>
      <c r="B16" s="6"/>
      <c r="C16" s="7"/>
      <c r="D16" s="53">
        <f>D17-D15</f>
        <v>407</v>
      </c>
      <c r="E16" s="39">
        <v>6.86</v>
      </c>
      <c r="F16" s="10"/>
      <c r="G16" s="48">
        <f>E16/B17/24</f>
        <v>0.028583333333333332</v>
      </c>
      <c r="H16" s="25"/>
      <c r="I16" s="50"/>
      <c r="K16" s="67"/>
    </row>
    <row r="17" spans="1:11" s="1" customFormat="1" ht="13.5">
      <c r="A17" s="11" t="s">
        <v>10</v>
      </c>
      <c r="B17" s="3">
        <f>IF(A17="平坦",25.5,IF(A17="上り",10,IF(A17="やや上り",20,IF(A17="激下り",40,35))))</f>
        <v>10</v>
      </c>
      <c r="C17" s="63" t="s">
        <v>70</v>
      </c>
      <c r="D17" s="47">
        <v>826</v>
      </c>
      <c r="E17" s="3"/>
      <c r="F17" s="8">
        <f>F15+E16</f>
        <v>109.69</v>
      </c>
      <c r="G17" s="46"/>
      <c r="H17" s="26">
        <f>H15+G16+J17+K17</f>
        <v>0.26448832866479927</v>
      </c>
      <c r="I17" s="28">
        <f>$I$1+H17+J17</f>
        <v>0.35823832866479927</v>
      </c>
      <c r="J17" s="36">
        <v>0.010416666666666666</v>
      </c>
      <c r="K17" s="66"/>
    </row>
    <row r="18" spans="1:11" ht="13.5">
      <c r="A18" s="12"/>
      <c r="B18" s="6"/>
      <c r="C18" s="7"/>
      <c r="D18" s="54">
        <f>D19-D17</f>
        <v>-360</v>
      </c>
      <c r="E18" s="39">
        <v>5.710000000000008</v>
      </c>
      <c r="F18" s="10"/>
      <c r="G18" s="48">
        <f>E18/B19/24</f>
        <v>0.006797619047619057</v>
      </c>
      <c r="H18" s="25"/>
      <c r="I18" s="50"/>
      <c r="K18" s="67"/>
    </row>
    <row r="19" spans="1:11" s="1" customFormat="1" ht="13.5">
      <c r="A19" s="11" t="s">
        <v>11</v>
      </c>
      <c r="B19" s="3">
        <f>IF(A19="平坦",25.5,IF(A19="上り",10,IF(A19="やや上り",20,IF(A19="激下り",40,35))))</f>
        <v>35</v>
      </c>
      <c r="C19" s="63" t="s">
        <v>71</v>
      </c>
      <c r="D19" s="47">
        <v>466</v>
      </c>
      <c r="E19" s="3"/>
      <c r="F19" s="8">
        <f>F17+E18</f>
        <v>115.4</v>
      </c>
      <c r="G19" s="46"/>
      <c r="H19" s="26">
        <f>H17+G18+J19+K19</f>
        <v>0.2712859477124183</v>
      </c>
      <c r="I19" s="28">
        <f>$I$1+H19+J19</f>
        <v>0.35461928104575163</v>
      </c>
      <c r="J19" s="36"/>
      <c r="K19" s="66"/>
    </row>
    <row r="20" spans="1:11" ht="13.5">
      <c r="A20" s="12"/>
      <c r="B20" s="6"/>
      <c r="C20" s="7"/>
      <c r="D20" s="54">
        <f>D21-D19</f>
        <v>156</v>
      </c>
      <c r="E20" s="39">
        <v>13.71</v>
      </c>
      <c r="F20" s="10"/>
      <c r="G20" s="48">
        <f>E20/B21/24</f>
        <v>0.02856250000000002</v>
      </c>
      <c r="H20" s="25"/>
      <c r="I20" s="50"/>
      <c r="K20" s="67"/>
    </row>
    <row r="21" spans="1:11" s="1" customFormat="1" ht="13.5">
      <c r="A21" s="64" t="s">
        <v>25</v>
      </c>
      <c r="B21" s="3">
        <f>IF(A21="平坦",25.5,IF(A21="上り",10,IF(A21="やや上り",20,IF(A21="激下り",40,35))))</f>
        <v>20</v>
      </c>
      <c r="C21" s="63" t="s">
        <v>72</v>
      </c>
      <c r="D21" s="47">
        <v>622</v>
      </c>
      <c r="E21" s="3"/>
      <c r="F21" s="8">
        <f>F19+E20</f>
        <v>129.11</v>
      </c>
      <c r="G21" s="46"/>
      <c r="H21" s="26">
        <f>H19+G20+J21+K21</f>
        <v>0.3054040032679739</v>
      </c>
      <c r="I21" s="28">
        <f>$I$1+H21+J21</f>
        <v>0.3887373366013072</v>
      </c>
      <c r="J21" s="36"/>
      <c r="K21" s="70">
        <v>0.005555555555555556</v>
      </c>
    </row>
    <row r="22" spans="1:11" ht="13.5">
      <c r="A22" s="12"/>
      <c r="B22" s="6"/>
      <c r="C22" s="7"/>
      <c r="D22" s="54">
        <f>D23-D21</f>
        <v>753</v>
      </c>
      <c r="E22" s="39">
        <v>14.28</v>
      </c>
      <c r="F22" s="10"/>
      <c r="G22" s="48">
        <f>E22/B23/24</f>
        <v>0.059499999999999886</v>
      </c>
      <c r="H22" s="25"/>
      <c r="I22" s="50"/>
      <c r="K22" s="67"/>
    </row>
    <row r="23" spans="1:11" s="1" customFormat="1" ht="13.5">
      <c r="A23" s="64" t="s">
        <v>10</v>
      </c>
      <c r="B23" s="3">
        <f>IF(A23="平坦",25.5,IF(A23="上り",10,IF(A23="やや上り",20,IF(A23="激下り",40,35))))</f>
        <v>10</v>
      </c>
      <c r="C23" s="4" t="s">
        <v>73</v>
      </c>
      <c r="D23" s="47">
        <v>1375</v>
      </c>
      <c r="E23" s="3"/>
      <c r="F23" s="8">
        <f>F21+E22</f>
        <v>143.39</v>
      </c>
      <c r="G23" s="46"/>
      <c r="H23" s="26">
        <f>H21+G22+J23+K23</f>
        <v>0.37532066993464047</v>
      </c>
      <c r="I23" s="28">
        <f>$I$1+H23+J23</f>
        <v>0.46907066993464047</v>
      </c>
      <c r="J23" s="36">
        <v>0.010416666666666666</v>
      </c>
      <c r="K23" s="66"/>
    </row>
    <row r="24" spans="1:11" ht="13.5">
      <c r="A24" s="12"/>
      <c r="B24" s="6"/>
      <c r="C24" s="7"/>
      <c r="D24" s="54">
        <f>D25-D23</f>
        <v>-619</v>
      </c>
      <c r="E24" s="39">
        <v>17.72</v>
      </c>
      <c r="F24" s="10"/>
      <c r="G24" s="48">
        <f>E24/B25/24</f>
        <v>0.01845833333333336</v>
      </c>
      <c r="H24" s="25"/>
      <c r="I24" s="50"/>
      <c r="K24" s="67"/>
    </row>
    <row r="25" spans="1:11" s="1" customFormat="1" ht="13.5">
      <c r="A25" s="11" t="s">
        <v>26</v>
      </c>
      <c r="B25" s="3">
        <f>IF(A25="平坦",25.5,IF(A25="上り",10,IF(A25="やや上り",20,IF(A25="激下り",40,35))))</f>
        <v>40</v>
      </c>
      <c r="C25" s="4" t="s">
        <v>74</v>
      </c>
      <c r="D25" s="47">
        <v>756</v>
      </c>
      <c r="E25" s="3"/>
      <c r="F25" s="8">
        <f>F23+E24</f>
        <v>161.11</v>
      </c>
      <c r="G25" s="46"/>
      <c r="H25" s="26">
        <f>H23+G24+J25+K25</f>
        <v>0.3937790032679738</v>
      </c>
      <c r="I25" s="28">
        <f>$I$1+H25+J25</f>
        <v>0.47711233660130714</v>
      </c>
      <c r="J25" s="36"/>
      <c r="K25" s="66"/>
    </row>
    <row r="26" spans="1:11" ht="13.5">
      <c r="A26" s="12"/>
      <c r="B26" s="6"/>
      <c r="C26" s="7"/>
      <c r="D26" s="54">
        <f>D27-D25</f>
        <v>-39</v>
      </c>
      <c r="E26" s="39">
        <v>21.7</v>
      </c>
      <c r="F26" s="10"/>
      <c r="G26" s="48">
        <f>E26/B27/24</f>
        <v>0.03545751633986926</v>
      </c>
      <c r="H26" s="25"/>
      <c r="I26" s="50"/>
      <c r="K26" s="67"/>
    </row>
    <row r="27" spans="1:11" s="1" customFormat="1" ht="13.5">
      <c r="A27" s="11" t="s">
        <v>9</v>
      </c>
      <c r="B27" s="3">
        <f>IF(A27="平坦",25.5,IF(A27="上り",10,IF(A27="やや上り",20,IF(A27="激下り",40,35))))</f>
        <v>25.5</v>
      </c>
      <c r="C27" s="4" t="s">
        <v>75</v>
      </c>
      <c r="D27" s="47">
        <v>717</v>
      </c>
      <c r="E27" s="3"/>
      <c r="F27" s="8">
        <f>F25+E26</f>
        <v>182.81</v>
      </c>
      <c r="G27" s="46"/>
      <c r="H27" s="26">
        <f>H25+G26+J27+K27</f>
        <v>0.4292365196078431</v>
      </c>
      <c r="I27" s="28">
        <f>$I$1+H27+J27</f>
        <v>0.5125698529411764</v>
      </c>
      <c r="J27" s="36"/>
      <c r="K27" s="66"/>
    </row>
    <row r="28" spans="1:11" ht="13.5">
      <c r="A28" s="12"/>
      <c r="B28" s="6"/>
      <c r="C28" s="7"/>
      <c r="D28" s="54">
        <f>D29-D27</f>
        <v>-269</v>
      </c>
      <c r="E28" s="39">
        <v>19.97</v>
      </c>
      <c r="F28" s="10"/>
      <c r="G28" s="48">
        <f>E28/B29/24</f>
        <v>0.02377380952380952</v>
      </c>
      <c r="H28" s="25"/>
      <c r="I28" s="50"/>
      <c r="K28" s="67"/>
    </row>
    <row r="29" spans="1:11" s="1" customFormat="1" ht="13.5">
      <c r="A29" s="11" t="s">
        <v>11</v>
      </c>
      <c r="B29" s="3">
        <f>IF(A29="平坦",25.5,IF(A29="上り",10,IF(A29="やや上り",20,IF(A29="激下り",40,35))))</f>
        <v>35</v>
      </c>
      <c r="C29" s="4" t="s">
        <v>76</v>
      </c>
      <c r="D29" s="47">
        <v>448</v>
      </c>
      <c r="E29" s="3"/>
      <c r="F29" s="8">
        <f>F27+E28</f>
        <v>202.78</v>
      </c>
      <c r="G29" s="46"/>
      <c r="H29" s="26">
        <f>H27+G28+J29+K29</f>
        <v>0.4655103291316526</v>
      </c>
      <c r="I29" s="28">
        <f>$I$1+H29+J29</f>
        <v>0.5557881069094304</v>
      </c>
      <c r="J29" s="36">
        <v>0.006944444444444444</v>
      </c>
      <c r="K29" s="70">
        <v>0.005555555555555556</v>
      </c>
    </row>
    <row r="30" spans="1:11" ht="13.5">
      <c r="A30" s="12"/>
      <c r="B30" s="6"/>
      <c r="C30" s="7"/>
      <c r="D30" s="54">
        <f>D31-D29</f>
        <v>-135</v>
      </c>
      <c r="E30" s="39">
        <v>77.31</v>
      </c>
      <c r="F30" s="10"/>
      <c r="G30" s="48">
        <f>E30/B31/24</f>
        <v>0.12632352941176475</v>
      </c>
      <c r="H30" s="25"/>
      <c r="I30" s="50"/>
      <c r="K30" s="67"/>
    </row>
    <row r="31" spans="1:11" s="1" customFormat="1" ht="13.5">
      <c r="A31" s="11" t="s">
        <v>9</v>
      </c>
      <c r="B31" s="3">
        <f>IF(A31="平坦",25.5,IF(A31="上り",10,IF(A31="やや上り",20,IF(A31="激下り",40,35))))</f>
        <v>25.5</v>
      </c>
      <c r="C31" s="4" t="s">
        <v>77</v>
      </c>
      <c r="D31" s="47">
        <v>313</v>
      </c>
      <c r="E31" s="4"/>
      <c r="F31" s="8">
        <f>F29+E30</f>
        <v>280.09000000000003</v>
      </c>
      <c r="G31" s="47"/>
      <c r="H31" s="26">
        <f>H29+G30+J31+K31</f>
        <v>0.6043338585434173</v>
      </c>
      <c r="I31" s="28">
        <f>$I$1+H31+J31</f>
        <v>0.694611636321195</v>
      </c>
      <c r="J31" s="36">
        <v>0.006944444444444444</v>
      </c>
      <c r="K31" s="70">
        <v>0.005555555555555556</v>
      </c>
    </row>
    <row r="32" spans="1:11" ht="13.5">
      <c r="A32" s="5"/>
      <c r="B32" s="7"/>
      <c r="C32" s="7"/>
      <c r="D32" s="54">
        <f>D33-D31</f>
        <v>800</v>
      </c>
      <c r="E32" s="39">
        <v>14.81</v>
      </c>
      <c r="F32" s="7"/>
      <c r="G32" s="48">
        <f>E32/B33/24</f>
        <v>0.061708333333333344</v>
      </c>
      <c r="H32" s="25"/>
      <c r="I32" s="50"/>
      <c r="K32" s="67"/>
    </row>
    <row r="33" spans="1:11" s="1" customFormat="1" ht="13.5">
      <c r="A33" s="2" t="s">
        <v>10</v>
      </c>
      <c r="B33" s="3">
        <f>IF(A33="平坦",25.5,IF(A33="上り",10,IF(A33="やや上り",20,IF(A33="激下り",40,35))))</f>
        <v>10</v>
      </c>
      <c r="C33" s="4" t="s">
        <v>78</v>
      </c>
      <c r="D33" s="47">
        <v>1113</v>
      </c>
      <c r="E33" s="4"/>
      <c r="F33" s="8">
        <f>F31+E32</f>
        <v>294.90000000000003</v>
      </c>
      <c r="G33" s="47"/>
      <c r="H33" s="26">
        <f>H31+G32+J33+K33</f>
        <v>0.6785421918767506</v>
      </c>
      <c r="I33" s="28">
        <f>$I$1+H33+J33</f>
        <v>0.7688199696545284</v>
      </c>
      <c r="J33" s="36">
        <v>0.006944444444444444</v>
      </c>
      <c r="K33" s="70">
        <v>0.005555555555555556</v>
      </c>
    </row>
    <row r="34" spans="1:11" ht="13.5">
      <c r="A34" s="5"/>
      <c r="B34" s="7"/>
      <c r="C34" s="7"/>
      <c r="D34" s="54">
        <f>D35-D33</f>
        <v>-1073</v>
      </c>
      <c r="E34" s="39">
        <v>16.76</v>
      </c>
      <c r="F34" s="7"/>
      <c r="G34" s="48">
        <f>E34/B35/24</f>
        <v>0.01745833333333334</v>
      </c>
      <c r="H34" s="25"/>
      <c r="I34" s="50"/>
      <c r="K34" s="67"/>
    </row>
    <row r="35" spans="1:11" s="1" customFormat="1" ht="13.5">
      <c r="A35" s="2" t="s">
        <v>26</v>
      </c>
      <c r="B35" s="3">
        <f>IF(A35="平坦",25.5,IF(A35="上り",10,IF(A35="やや上り",20,IF(A35="激下り",40,35))))</f>
        <v>40</v>
      </c>
      <c r="C35" s="4" t="s">
        <v>79</v>
      </c>
      <c r="D35" s="47">
        <v>40</v>
      </c>
      <c r="E35" s="4"/>
      <c r="F35" s="8">
        <f>F33+E34</f>
        <v>311.66</v>
      </c>
      <c r="G35" s="47"/>
      <c r="H35" s="26">
        <f>H33+G34+J35+K35</f>
        <v>0.7015560807656395</v>
      </c>
      <c r="I35" s="28">
        <f>$I$1+H35+J35</f>
        <v>0.7848894140989728</v>
      </c>
      <c r="J35" s="36"/>
      <c r="K35" s="70">
        <v>0.005555555555555556</v>
      </c>
    </row>
    <row r="36" spans="1:11" ht="13.5">
      <c r="A36" s="5"/>
      <c r="B36" s="7"/>
      <c r="C36" s="7"/>
      <c r="D36" s="54">
        <f>D37-D35</f>
        <v>-36</v>
      </c>
      <c r="E36" s="39">
        <v>16.85</v>
      </c>
      <c r="F36" s="7"/>
      <c r="G36" s="48">
        <f>E36/B37/24</f>
        <v>0.027532679738562087</v>
      </c>
      <c r="H36" s="25"/>
      <c r="I36" s="50"/>
      <c r="K36" s="67"/>
    </row>
    <row r="37" spans="1:11" s="1" customFormat="1" ht="13.5">
      <c r="A37" s="2" t="s">
        <v>9</v>
      </c>
      <c r="B37" s="3">
        <f>IF(A37="平坦",25.5,IF(A37="上り",10,IF(A37="やや上り",20,IF(A37="激下り",40,35))))</f>
        <v>25.5</v>
      </c>
      <c r="C37" s="4" t="s">
        <v>63</v>
      </c>
      <c r="D37" s="47">
        <v>4</v>
      </c>
      <c r="E37" s="4"/>
      <c r="F37" s="8">
        <f>F35+E36</f>
        <v>328.51000000000005</v>
      </c>
      <c r="G37" s="47"/>
      <c r="H37" s="26">
        <f>H35+G36+J37+K37</f>
        <v>0.7290887605042016</v>
      </c>
      <c r="I37" s="28">
        <f>$I$1+H37+J37</f>
        <v>0.8124220938375349</v>
      </c>
      <c r="J37" s="36"/>
      <c r="K37" s="66"/>
    </row>
    <row r="38" spans="1:11" ht="13.5">
      <c r="A38" s="15"/>
      <c r="B38" s="16"/>
      <c r="C38" s="16"/>
      <c r="D38" s="62">
        <f>SUM(D4,D6,D10,D14,D16,D20,D22,D32)</f>
        <v>2923</v>
      </c>
      <c r="E38" s="16">
        <f>SUM(E3:E37)</f>
        <v>328.51000000000005</v>
      </c>
      <c r="F38" s="16"/>
      <c r="G38" s="49">
        <f>SUM(G3:G37)</f>
        <v>0.6325609827264239</v>
      </c>
      <c r="H38" s="27"/>
      <c r="I38" s="30"/>
      <c r="K38" s="68"/>
    </row>
    <row r="39" spans="1:7" ht="13.5">
      <c r="A39" t="s">
        <v>42</v>
      </c>
      <c r="B39" s="44">
        <f>E39/G39</f>
        <v>21.638888645439188</v>
      </c>
      <c r="D39" s="55">
        <f>SUM(D8,D12,D18,D24,D26,D28,D30,D34,D36)</f>
        <v>-2968</v>
      </c>
      <c r="E39" s="45">
        <f>SUM(E3:E37)</f>
        <v>328.51000000000005</v>
      </c>
      <c r="G39" s="44">
        <f>G38*24</f>
        <v>15.181463585434173</v>
      </c>
    </row>
    <row r="40" ht="13.5">
      <c r="D40" s="55"/>
    </row>
  </sheetData>
  <sheetProtection/>
  <conditionalFormatting sqref="A3:A38">
    <cfRule type="cellIs" priority="1" dxfId="0" operator="equal" stopIfTrue="1">
      <formula>"上り"</formula>
    </cfRule>
  </conditionalFormatting>
  <printOptions/>
  <pageMargins left="0.7086614173228347" right="0.2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zoomScalePageLayoutView="0" workbookViewId="0" topLeftCell="A1">
      <selection activeCell="K13" sqref="K13"/>
    </sheetView>
  </sheetViews>
  <sheetFormatPr defaultColWidth="9.00390625" defaultRowHeight="13.5"/>
  <cols>
    <col min="1" max="1" width="8.00390625" style="0" customWidth="1"/>
    <col min="2" max="2" width="9.50390625" style="0" customWidth="1"/>
    <col min="3" max="3" width="23.00390625" style="0" customWidth="1"/>
    <col min="4" max="4" width="9.125" style="56" customWidth="1"/>
    <col min="5" max="5" width="15.75390625" style="0" customWidth="1"/>
    <col min="6" max="6" width="12.875" style="0" bestFit="1" customWidth="1"/>
    <col min="7" max="7" width="18.75390625" style="0" bestFit="1" customWidth="1"/>
    <col min="8" max="8" width="14.00390625" style="0" bestFit="1" customWidth="1"/>
    <col min="9" max="9" width="15.00390625" style="0" bestFit="1" customWidth="1"/>
    <col min="10" max="11" width="10.625" style="34" customWidth="1"/>
  </cols>
  <sheetData>
    <row r="1" spans="2:11" s="22" customFormat="1" ht="13.5">
      <c r="B1" s="23" t="s">
        <v>24</v>
      </c>
      <c r="D1" s="52" t="s">
        <v>23</v>
      </c>
      <c r="H1" s="22" t="s">
        <v>2</v>
      </c>
      <c r="I1" s="38">
        <v>0.125</v>
      </c>
      <c r="J1" s="34"/>
      <c r="K1" s="34"/>
    </row>
    <row r="2" spans="1:11" s="17" customFormat="1" ht="13.5">
      <c r="A2" s="18" t="s">
        <v>12</v>
      </c>
      <c r="B2" s="19" t="s">
        <v>13</v>
      </c>
      <c r="C2" s="20" t="s">
        <v>0</v>
      </c>
      <c r="D2" s="20" t="s">
        <v>21</v>
      </c>
      <c r="E2" s="20" t="s">
        <v>20</v>
      </c>
      <c r="F2" s="20" t="s">
        <v>19</v>
      </c>
      <c r="G2" s="20" t="s">
        <v>22</v>
      </c>
      <c r="H2" s="20" t="s">
        <v>18</v>
      </c>
      <c r="I2" s="21" t="s">
        <v>1</v>
      </c>
      <c r="J2" s="35" t="s">
        <v>27</v>
      </c>
      <c r="K2" s="69"/>
    </row>
    <row r="3" spans="1:11" s="1" customFormat="1" ht="13.5">
      <c r="A3" s="2" t="s">
        <v>9</v>
      </c>
      <c r="B3" s="3">
        <f>IF(A3="平坦",25.5,IF(A3="上り",10,IF(A3="やや上り",20,IF(A3="激下り",40,35))))</f>
        <v>25.5</v>
      </c>
      <c r="C3" s="4" t="s">
        <v>43</v>
      </c>
      <c r="D3" s="47">
        <v>38</v>
      </c>
      <c r="E3" s="4"/>
      <c r="F3" s="4"/>
      <c r="G3" s="4"/>
      <c r="H3" s="4"/>
      <c r="I3" s="28"/>
      <c r="J3" s="36"/>
      <c r="K3" s="70"/>
    </row>
    <row r="4" spans="1:11" ht="13.5">
      <c r="A4" s="5"/>
      <c r="B4" s="6"/>
      <c r="C4" s="7"/>
      <c r="D4" s="53">
        <f>D5-D3</f>
        <v>26</v>
      </c>
      <c r="E4" s="39">
        <v>7.75</v>
      </c>
      <c r="F4" s="7"/>
      <c r="G4" s="25">
        <f>E4/B5/24</f>
        <v>0.012663398692810456</v>
      </c>
      <c r="H4" s="25"/>
      <c r="I4" s="29"/>
      <c r="K4" s="71"/>
    </row>
    <row r="5" spans="1:11" s="1" customFormat="1" ht="13.5">
      <c r="A5" s="2" t="s">
        <v>9</v>
      </c>
      <c r="B5" s="3">
        <f>IF(A5="平坦",25.5,IF(A5="上り",10,IF(A5="やや上り",20,IF(A5="激下り",40,35))))</f>
        <v>25.5</v>
      </c>
      <c r="C5" s="4" t="s">
        <v>44</v>
      </c>
      <c r="D5" s="47">
        <v>64</v>
      </c>
      <c r="E5" s="3"/>
      <c r="F5" s="8">
        <f>F3+E4</f>
        <v>7.75</v>
      </c>
      <c r="G5" s="9"/>
      <c r="H5" s="26">
        <f>G4+J5+K5</f>
        <v>0.01821895424836601</v>
      </c>
      <c r="I5" s="28">
        <f>$I$1+H5+J5</f>
        <v>0.143218954248366</v>
      </c>
      <c r="J5" s="36"/>
      <c r="K5" s="70">
        <v>0.005555555555555556</v>
      </c>
    </row>
    <row r="6" spans="1:11" ht="13.5">
      <c r="A6" s="5"/>
      <c r="B6" s="6"/>
      <c r="C6" s="7"/>
      <c r="D6" s="53">
        <f>D7-D5</f>
        <v>136</v>
      </c>
      <c r="E6" s="6">
        <v>20.21</v>
      </c>
      <c r="F6" s="10"/>
      <c r="G6" s="25">
        <f>E6/B7/24</f>
        <v>0.033022875816993466</v>
      </c>
      <c r="H6" s="25"/>
      <c r="I6" s="29"/>
      <c r="K6" s="71"/>
    </row>
    <row r="7" spans="1:11" s="1" customFormat="1" ht="13.5">
      <c r="A7" s="2" t="s">
        <v>9</v>
      </c>
      <c r="B7" s="3">
        <f>IF(A7="平坦",25.5,IF(A7="上り",10,IF(A7="やや上り",20,IF(A7="激下り",40,35))))</f>
        <v>25.5</v>
      </c>
      <c r="C7" s="4" t="s">
        <v>45</v>
      </c>
      <c r="D7" s="47">
        <v>200</v>
      </c>
      <c r="E7" s="3"/>
      <c r="F7" s="8">
        <f>F5+E6</f>
        <v>27.96</v>
      </c>
      <c r="G7" s="9"/>
      <c r="H7" s="26">
        <f>H5+G6+J7+K7</f>
        <v>0.05124183006535948</v>
      </c>
      <c r="I7" s="28">
        <f>$I$1+H7+J7</f>
        <v>0.17624183006535948</v>
      </c>
      <c r="J7" s="36"/>
      <c r="K7" s="70"/>
    </row>
    <row r="8" spans="1:11" ht="13.5">
      <c r="A8" s="12"/>
      <c r="B8" s="6"/>
      <c r="C8" s="7"/>
      <c r="D8" s="53">
        <f>D9-D7</f>
        <v>199</v>
      </c>
      <c r="E8" s="6">
        <v>5.64</v>
      </c>
      <c r="F8" s="10"/>
      <c r="G8" s="25">
        <f>E8/B9/24</f>
        <v>0.011749999999999998</v>
      </c>
      <c r="H8" s="25"/>
      <c r="I8" s="29"/>
      <c r="K8" s="71"/>
    </row>
    <row r="9" spans="1:11" s="1" customFormat="1" ht="13.5">
      <c r="A9" s="2" t="s">
        <v>25</v>
      </c>
      <c r="B9" s="3">
        <f>IF(A9="平坦",25.5,IF(A9="上り",10,IF(A9="やや上り",20,IF(A9="激下り",40,35))))</f>
        <v>20</v>
      </c>
      <c r="C9" s="4" t="s">
        <v>46</v>
      </c>
      <c r="D9" s="47">
        <v>399</v>
      </c>
      <c r="E9" s="3"/>
      <c r="F9" s="8">
        <f>F7+E8</f>
        <v>33.6</v>
      </c>
      <c r="G9" s="9"/>
      <c r="H9" s="26">
        <f>H7+G8+J9+K9</f>
        <v>0.06854738562091503</v>
      </c>
      <c r="I9" s="28">
        <f>$I$1+H9+J9</f>
        <v>0.19354738562091503</v>
      </c>
      <c r="J9" s="36"/>
      <c r="K9" s="70">
        <v>0.005555555555555556</v>
      </c>
    </row>
    <row r="10" spans="1:11" ht="13.5">
      <c r="A10" s="12"/>
      <c r="B10" s="6"/>
      <c r="C10" s="7"/>
      <c r="D10" s="54">
        <f>D11-D9</f>
        <v>-199</v>
      </c>
      <c r="E10" s="6">
        <v>6.35</v>
      </c>
      <c r="F10" s="10"/>
      <c r="G10" s="25">
        <f>E10/B11/24</f>
        <v>0.0075595238095238085</v>
      </c>
      <c r="H10" s="25"/>
      <c r="I10" s="29"/>
      <c r="K10" s="71"/>
    </row>
    <row r="11" spans="1:11" s="1" customFormat="1" ht="13.5">
      <c r="A11" s="11" t="s">
        <v>11</v>
      </c>
      <c r="B11" s="3">
        <f>IF(A11="平坦",25.5,IF(A11="上り",10,IF(A11="やや上り",20,IF(A11="激下り",40,35))))</f>
        <v>35</v>
      </c>
      <c r="C11" s="4" t="s">
        <v>47</v>
      </c>
      <c r="D11" s="47">
        <v>200</v>
      </c>
      <c r="E11" s="3"/>
      <c r="F11" s="8">
        <f>F9+E10</f>
        <v>39.95</v>
      </c>
      <c r="G11" s="9"/>
      <c r="H11" s="26">
        <f>H9+G10+J11+K11</f>
        <v>0.07610690943043884</v>
      </c>
      <c r="I11" s="28">
        <f>$I$1+H11+J11</f>
        <v>0.20110690943043885</v>
      </c>
      <c r="J11" s="36"/>
      <c r="K11" s="70"/>
    </row>
    <row r="12" spans="1:11" ht="13.5">
      <c r="A12" s="12"/>
      <c r="B12" s="6"/>
      <c r="C12" s="7"/>
      <c r="D12" s="53">
        <f>D13-D11</f>
        <v>165</v>
      </c>
      <c r="E12" s="6">
        <v>29.37</v>
      </c>
      <c r="F12" s="10"/>
      <c r="G12" s="25">
        <f>E12/B13/24</f>
        <v>0.04799019607843138</v>
      </c>
      <c r="H12" s="25"/>
      <c r="I12" s="50"/>
      <c r="K12" s="71"/>
    </row>
    <row r="13" spans="1:11" s="1" customFormat="1" ht="13.5">
      <c r="A13" s="11" t="s">
        <v>9</v>
      </c>
      <c r="B13" s="3">
        <f>IF(A13="平坦",25.5,IF(A13="上り",10,IF(A13="やや上り",20,IF(A13="激下り",40,35))))</f>
        <v>25.5</v>
      </c>
      <c r="C13" s="4" t="s">
        <v>48</v>
      </c>
      <c r="D13" s="47">
        <v>365</v>
      </c>
      <c r="E13" s="3"/>
      <c r="F13" s="8">
        <f>F11+E12</f>
        <v>69.32000000000001</v>
      </c>
      <c r="G13" s="9"/>
      <c r="H13" s="26">
        <f>H11+G12+J13+K13</f>
        <v>0.13659710550887022</v>
      </c>
      <c r="I13" s="28">
        <f>$I$1+H13+J13</f>
        <v>0.26854154995331464</v>
      </c>
      <c r="J13" s="36">
        <v>0.006944444444444444</v>
      </c>
      <c r="K13" s="70">
        <v>0.005555555555555556</v>
      </c>
    </row>
    <row r="14" spans="1:11" ht="13.5">
      <c r="A14" s="12"/>
      <c r="B14" s="6"/>
      <c r="C14" s="7"/>
      <c r="D14" s="53">
        <f>D15-D13</f>
        <v>330</v>
      </c>
      <c r="E14" s="6">
        <v>14.1</v>
      </c>
      <c r="F14" s="10"/>
      <c r="G14" s="25">
        <f>E14/B15/24</f>
        <v>0.029375</v>
      </c>
      <c r="H14" s="25"/>
      <c r="I14" s="50"/>
      <c r="K14" s="71"/>
    </row>
    <row r="15" spans="1:11" s="1" customFormat="1" ht="13.5">
      <c r="A15" s="11" t="s">
        <v>25</v>
      </c>
      <c r="B15" s="3">
        <f>IF(A15="平坦",25.5,IF(A15="上り",10,IF(A15="やや上り",20,IF(A15="激下り",40,35))))</f>
        <v>20</v>
      </c>
      <c r="C15" s="4" t="s">
        <v>49</v>
      </c>
      <c r="D15" s="47">
        <v>695</v>
      </c>
      <c r="E15" s="3"/>
      <c r="F15" s="8">
        <f>F13+E14</f>
        <v>83.42</v>
      </c>
      <c r="G15" s="9"/>
      <c r="H15" s="26">
        <f>H13+G14+J15+K15</f>
        <v>0.17152766106442577</v>
      </c>
      <c r="I15" s="28">
        <f>$I$1+H15+J15</f>
        <v>0.29652766106442574</v>
      </c>
      <c r="J15" s="36"/>
      <c r="K15" s="70">
        <v>0.005555555555555556</v>
      </c>
    </row>
    <row r="16" spans="1:11" ht="13.5">
      <c r="A16" s="12"/>
      <c r="B16" s="6"/>
      <c r="C16" s="7"/>
      <c r="D16" s="53">
        <f>D17-D15</f>
        <v>390</v>
      </c>
      <c r="E16" s="6">
        <v>5.290000000000006</v>
      </c>
      <c r="F16" s="10"/>
      <c r="G16" s="48">
        <f>E16/B17/24</f>
        <v>0.022041666666666692</v>
      </c>
      <c r="H16" s="25"/>
      <c r="I16" s="50"/>
      <c r="K16" s="71"/>
    </row>
    <row r="17" spans="1:11" s="1" customFormat="1" ht="13.5">
      <c r="A17" s="11" t="s">
        <v>10</v>
      </c>
      <c r="B17" s="3">
        <f>IF(A17="平坦",25.5,IF(A17="上り",10,IF(A17="やや上り",20,IF(A17="激下り",40,35))))</f>
        <v>10</v>
      </c>
      <c r="C17" s="4" t="s">
        <v>50</v>
      </c>
      <c r="D17" s="47">
        <v>1085</v>
      </c>
      <c r="E17" s="3"/>
      <c r="F17" s="8">
        <f>F15+E16</f>
        <v>88.71000000000001</v>
      </c>
      <c r="G17" s="46"/>
      <c r="H17" s="26">
        <f>H15+G16+J17+K17</f>
        <v>0.20954154995331467</v>
      </c>
      <c r="I17" s="28">
        <f>$I$1+H17+J17</f>
        <v>0.34495821661998133</v>
      </c>
      <c r="J17" s="36">
        <v>0.010416666666666666</v>
      </c>
      <c r="K17" s="70">
        <v>0.005555555555555556</v>
      </c>
    </row>
    <row r="18" spans="1:11" ht="13.5">
      <c r="A18" s="12"/>
      <c r="B18" s="6"/>
      <c r="C18" s="7"/>
      <c r="D18" s="54">
        <f>D19-D17</f>
        <v>-814</v>
      </c>
      <c r="E18" s="6">
        <v>20.71</v>
      </c>
      <c r="F18" s="10"/>
      <c r="G18" s="48">
        <f>E18/B19/24</f>
        <v>0.024654761904761905</v>
      </c>
      <c r="H18" s="25"/>
      <c r="I18" s="50"/>
      <c r="K18" s="71"/>
    </row>
    <row r="19" spans="1:11" s="1" customFormat="1" ht="13.5">
      <c r="A19" s="11" t="s">
        <v>11</v>
      </c>
      <c r="B19" s="3">
        <f>IF(A19="平坦",25.5,IF(A19="上り",10,IF(A19="やや上り",20,IF(A19="激下り",40,35))))</f>
        <v>35</v>
      </c>
      <c r="C19" s="4" t="s">
        <v>51</v>
      </c>
      <c r="D19" s="47">
        <v>271</v>
      </c>
      <c r="E19" s="3"/>
      <c r="F19" s="8">
        <f>F17+E18</f>
        <v>109.42000000000002</v>
      </c>
      <c r="G19" s="46"/>
      <c r="H19" s="26">
        <f>H17+G18+J19+K19</f>
        <v>0.23975186741363214</v>
      </c>
      <c r="I19" s="28">
        <f>$I$1+H19+J19</f>
        <v>0.36475186741363214</v>
      </c>
      <c r="J19" s="36"/>
      <c r="K19" s="70">
        <v>0.005555555555555556</v>
      </c>
    </row>
    <row r="20" spans="1:11" ht="13.5">
      <c r="A20" s="12"/>
      <c r="B20" s="6"/>
      <c r="C20" s="7"/>
      <c r="D20" s="54">
        <f>D21-D19</f>
        <v>84</v>
      </c>
      <c r="E20" s="6">
        <v>22.54</v>
      </c>
      <c r="F20" s="10"/>
      <c r="G20" s="48">
        <f>E20/B21/24</f>
        <v>0.036830065359477124</v>
      </c>
      <c r="H20" s="25"/>
      <c r="I20" s="50"/>
      <c r="K20" s="71"/>
    </row>
    <row r="21" spans="1:11" s="1" customFormat="1" ht="13.5">
      <c r="A21" s="11" t="s">
        <v>9</v>
      </c>
      <c r="B21" s="3">
        <f>IF(A21="平坦",25.5,IF(A21="上り",10,IF(A21="やや上り",20,IF(A21="激下り",40,35))))</f>
        <v>25.5</v>
      </c>
      <c r="C21" s="4" t="s">
        <v>52</v>
      </c>
      <c r="D21" s="47">
        <v>355</v>
      </c>
      <c r="E21" s="3"/>
      <c r="F21" s="8">
        <f>F19+E20</f>
        <v>131.96</v>
      </c>
      <c r="G21" s="46"/>
      <c r="H21" s="26">
        <f>H19+G20+J21+K21</f>
        <v>0.2821374883286648</v>
      </c>
      <c r="I21" s="28">
        <f>$I$1+H21+J21</f>
        <v>0.4071374883286648</v>
      </c>
      <c r="J21" s="36"/>
      <c r="K21" s="70">
        <v>0.005555555555555556</v>
      </c>
    </row>
    <row r="22" spans="1:11" ht="13.5">
      <c r="A22" s="12"/>
      <c r="B22" s="6"/>
      <c r="C22" s="7"/>
      <c r="D22" s="54">
        <f>D23-D21</f>
        <v>597</v>
      </c>
      <c r="E22" s="6">
        <v>33.1</v>
      </c>
      <c r="F22" s="10"/>
      <c r="G22" s="48">
        <f>E22/B23/24</f>
        <v>0.06895833333333333</v>
      </c>
      <c r="H22" s="25"/>
      <c r="I22" s="50"/>
      <c r="K22" s="71"/>
    </row>
    <row r="23" spans="1:11" s="1" customFormat="1" ht="13.5">
      <c r="A23" s="11" t="s">
        <v>25</v>
      </c>
      <c r="B23" s="3">
        <f>IF(A23="平坦",25.5,IF(A23="上り",10,IF(A23="やや上り",20,IF(A23="激下り",40,35))))</f>
        <v>20</v>
      </c>
      <c r="C23" s="4" t="s">
        <v>53</v>
      </c>
      <c r="D23" s="47">
        <v>952</v>
      </c>
      <c r="E23" s="3"/>
      <c r="F23" s="8">
        <f>F21+E22</f>
        <v>165.06</v>
      </c>
      <c r="G23" s="46"/>
      <c r="H23" s="26">
        <f>H21+G22+J23+K23</f>
        <v>0.3635958216619981</v>
      </c>
      <c r="I23" s="28">
        <f>$I$1+H23+J23</f>
        <v>0.49554026610644253</v>
      </c>
      <c r="J23" s="36">
        <v>0.006944444444444444</v>
      </c>
      <c r="K23" s="70">
        <v>0.005555555555555556</v>
      </c>
    </row>
    <row r="24" spans="1:11" ht="13.5">
      <c r="A24" s="12"/>
      <c r="B24" s="6"/>
      <c r="C24" s="7"/>
      <c r="D24" s="54">
        <f>D25-D23</f>
        <v>-161</v>
      </c>
      <c r="E24" s="6">
        <v>9.97</v>
      </c>
      <c r="F24" s="10"/>
      <c r="G24" s="48">
        <f>E24/B25/24</f>
        <v>0.01186904761904762</v>
      </c>
      <c r="H24" s="25"/>
      <c r="I24" s="50"/>
      <c r="K24" s="71"/>
    </row>
    <row r="25" spans="1:11" s="1" customFormat="1" ht="13.5">
      <c r="A25" s="11" t="s">
        <v>11</v>
      </c>
      <c r="B25" s="3">
        <f>IF(A25="平坦",25.5,IF(A25="上り",10,IF(A25="やや上り",20,IF(A25="激下り",40,35))))</f>
        <v>35</v>
      </c>
      <c r="C25" s="4" t="s">
        <v>54</v>
      </c>
      <c r="D25" s="47">
        <v>791</v>
      </c>
      <c r="E25" s="3"/>
      <c r="F25" s="8">
        <f>F23+E24</f>
        <v>175.03</v>
      </c>
      <c r="G25" s="46"/>
      <c r="H25" s="26">
        <f>H23+G24+J25+K25</f>
        <v>0.38102042483660126</v>
      </c>
      <c r="I25" s="28">
        <f>$I$1+H25+J25</f>
        <v>0.5060204248366013</v>
      </c>
      <c r="J25" s="36"/>
      <c r="K25" s="70">
        <v>0.005555555555555556</v>
      </c>
    </row>
    <row r="26" spans="1:11" ht="13.5">
      <c r="A26" s="12"/>
      <c r="B26" s="6"/>
      <c r="C26" s="7"/>
      <c r="D26" s="54">
        <f>D27-D25</f>
        <v>5</v>
      </c>
      <c r="E26" s="6">
        <v>15.67</v>
      </c>
      <c r="F26" s="10"/>
      <c r="G26" s="48">
        <f>E26/B27/24</f>
        <v>0.02560457516339869</v>
      </c>
      <c r="H26" s="25"/>
      <c r="I26" s="50"/>
      <c r="K26" s="71"/>
    </row>
    <row r="27" spans="1:11" s="1" customFormat="1" ht="13.5">
      <c r="A27" s="11" t="s">
        <v>9</v>
      </c>
      <c r="B27" s="3">
        <f>IF(A27="平坦",25.5,IF(A27="上り",10,IF(A27="やや上り",20,IF(A27="激下り",40,35))))</f>
        <v>25.5</v>
      </c>
      <c r="C27" s="4" t="s">
        <v>55</v>
      </c>
      <c r="D27" s="47">
        <v>796</v>
      </c>
      <c r="E27" s="3"/>
      <c r="F27" s="8">
        <f>F25+E26</f>
        <v>190.7</v>
      </c>
      <c r="G27" s="46"/>
      <c r="H27" s="26">
        <f>H25+G26+J27+K27</f>
        <v>0.4121805555555555</v>
      </c>
      <c r="I27" s="28">
        <f>$I$1+H27+J27</f>
        <v>0.5371805555555556</v>
      </c>
      <c r="J27" s="36"/>
      <c r="K27" s="70">
        <v>0.005555555555555556</v>
      </c>
    </row>
    <row r="28" spans="1:11" ht="13.5">
      <c r="A28" s="12"/>
      <c r="B28" s="6"/>
      <c r="C28" s="7"/>
      <c r="D28" s="54">
        <f>D29-D27</f>
        <v>200</v>
      </c>
      <c r="E28" s="6">
        <v>5.69</v>
      </c>
      <c r="F28" s="10"/>
      <c r="G28" s="48">
        <f>E28/B29/24</f>
        <v>0.023708333333333335</v>
      </c>
      <c r="H28" s="25"/>
      <c r="I28" s="50"/>
      <c r="K28" s="71"/>
    </row>
    <row r="29" spans="1:11" s="1" customFormat="1" ht="13.5">
      <c r="A29" s="11" t="s">
        <v>10</v>
      </c>
      <c r="B29" s="3">
        <f>IF(A29="平坦",25.5,IF(A29="上り",10,IF(A29="やや上り",20,IF(A29="激下り",40,35))))</f>
        <v>10</v>
      </c>
      <c r="C29" s="4" t="s">
        <v>56</v>
      </c>
      <c r="D29" s="47">
        <v>996</v>
      </c>
      <c r="E29" s="3"/>
      <c r="F29" s="8">
        <f>F27+E28</f>
        <v>196.39</v>
      </c>
      <c r="G29" s="46"/>
      <c r="H29" s="26">
        <f>H27+G28+J29+K29</f>
        <v>0.45186111111111105</v>
      </c>
      <c r="I29" s="28">
        <f>$I$1+H29+J29</f>
        <v>0.5872777777777777</v>
      </c>
      <c r="J29" s="36">
        <v>0.010416666666666666</v>
      </c>
      <c r="K29" s="70">
        <v>0.005555555555555556</v>
      </c>
    </row>
    <row r="30" spans="1:11" ht="13.5">
      <c r="A30" s="12"/>
      <c r="B30" s="6"/>
      <c r="C30" s="7"/>
      <c r="D30" s="54">
        <f>D31-D29</f>
        <v>-289</v>
      </c>
      <c r="E30" s="6">
        <v>7.980000000000018</v>
      </c>
      <c r="F30" s="10"/>
      <c r="G30" s="48">
        <f>E30/B31/24</f>
        <v>0.00831250000000002</v>
      </c>
      <c r="H30" s="25"/>
      <c r="I30" s="50"/>
      <c r="K30" s="71"/>
    </row>
    <row r="31" spans="1:11" s="1" customFormat="1" ht="13.5">
      <c r="A31" s="11" t="s">
        <v>26</v>
      </c>
      <c r="B31" s="3">
        <f>IF(A31="平坦",25.5,IF(A31="上り",10,IF(A31="やや上り",20,IF(A31="激下り",40,35))))</f>
        <v>40</v>
      </c>
      <c r="C31" s="4" t="s">
        <v>57</v>
      </c>
      <c r="D31" s="47">
        <v>707</v>
      </c>
      <c r="E31" s="4"/>
      <c r="F31" s="8">
        <f>F29+E30</f>
        <v>204.37</v>
      </c>
      <c r="G31" s="47"/>
      <c r="H31" s="26">
        <f>H29+G30+J31+K31</f>
        <v>0.4657291666666666</v>
      </c>
      <c r="I31" s="28">
        <f>$I$1+H31+J31</f>
        <v>0.5907291666666665</v>
      </c>
      <c r="J31" s="36"/>
      <c r="K31" s="70">
        <v>0.005555555555555556</v>
      </c>
    </row>
    <row r="32" spans="1:11" ht="13.5">
      <c r="A32" s="5"/>
      <c r="B32" s="7"/>
      <c r="C32" s="7"/>
      <c r="D32" s="54">
        <f>D33-D31</f>
        <v>-168</v>
      </c>
      <c r="E32" s="6">
        <v>29.34</v>
      </c>
      <c r="F32" s="7"/>
      <c r="G32" s="48">
        <f>E32/B33/24</f>
        <v>0.03492857142857143</v>
      </c>
      <c r="H32" s="25"/>
      <c r="I32" s="50"/>
      <c r="K32" s="71"/>
    </row>
    <row r="33" spans="1:11" s="1" customFormat="1" ht="13.5">
      <c r="A33" s="2" t="s">
        <v>11</v>
      </c>
      <c r="B33" s="3">
        <f>IF(A33="平坦",25.5,IF(A33="上り",10,IF(A33="やや上り",20,IF(A33="激下り",40,35))))</f>
        <v>35</v>
      </c>
      <c r="C33" s="4" t="s">
        <v>58</v>
      </c>
      <c r="D33" s="47">
        <v>539</v>
      </c>
      <c r="E33" s="4"/>
      <c r="F33" s="8">
        <f>F31+E32</f>
        <v>233.71</v>
      </c>
      <c r="G33" s="47"/>
      <c r="H33" s="26">
        <f>H31+G32+J33+K33</f>
        <v>0.5062132936507936</v>
      </c>
      <c r="I33" s="28">
        <f>$I$1+H33+J33</f>
        <v>0.6312132936507936</v>
      </c>
      <c r="J33" s="36"/>
      <c r="K33" s="70">
        <v>0.005555555555555556</v>
      </c>
    </row>
    <row r="34" spans="1:11" ht="13.5">
      <c r="A34" s="5"/>
      <c r="B34" s="7"/>
      <c r="C34" s="7"/>
      <c r="D34" s="54">
        <f>D35-D33</f>
        <v>304</v>
      </c>
      <c r="E34" s="6">
        <v>31.9</v>
      </c>
      <c r="F34" s="7"/>
      <c r="G34" s="48">
        <f>E34/B35/24</f>
        <v>0.06645833333333333</v>
      </c>
      <c r="H34" s="25"/>
      <c r="I34" s="50"/>
      <c r="K34" s="71"/>
    </row>
    <row r="35" spans="1:11" s="1" customFormat="1" ht="13.5">
      <c r="A35" s="2" t="s">
        <v>25</v>
      </c>
      <c r="B35" s="3">
        <f>IF(A35="平坦",25.5,IF(A35="上り",10,IF(A35="やや上り",20,IF(A35="激下り",40,35))))</f>
        <v>20</v>
      </c>
      <c r="C35" s="4" t="s">
        <v>59</v>
      </c>
      <c r="D35" s="47">
        <v>843</v>
      </c>
      <c r="E35" s="4"/>
      <c r="F35" s="8">
        <f>F33+E34</f>
        <v>265.61</v>
      </c>
      <c r="G35" s="47"/>
      <c r="H35" s="26">
        <f>H33+G34+J35+K35</f>
        <v>0.588643849206349</v>
      </c>
      <c r="I35" s="28">
        <f>$I$1+H35+J35</f>
        <v>0.7240605158730157</v>
      </c>
      <c r="J35" s="36">
        <v>0.010416666666666666</v>
      </c>
      <c r="K35" s="70">
        <v>0.005555555555555556</v>
      </c>
    </row>
    <row r="36" spans="1:11" ht="13.5">
      <c r="A36" s="5"/>
      <c r="B36" s="7"/>
      <c r="C36" s="7"/>
      <c r="D36" s="54">
        <f>D37-D35</f>
        <v>-370</v>
      </c>
      <c r="E36" s="6">
        <v>26.79</v>
      </c>
      <c r="F36" s="7"/>
      <c r="G36" s="48">
        <f>E36/B37/24</f>
        <v>0.031892857142857146</v>
      </c>
      <c r="H36" s="25"/>
      <c r="I36" s="50"/>
      <c r="K36" s="71"/>
    </row>
    <row r="37" spans="1:11" s="1" customFormat="1" ht="13.5">
      <c r="A37" s="2" t="s">
        <v>11</v>
      </c>
      <c r="B37" s="3">
        <f>IF(A37="平坦",25.5,IF(A37="上り",10,IF(A37="やや上り",20,IF(A37="激下り",40,35))))</f>
        <v>35</v>
      </c>
      <c r="C37" s="4" t="s">
        <v>60</v>
      </c>
      <c r="D37" s="47">
        <v>473</v>
      </c>
      <c r="E37" s="4"/>
      <c r="F37" s="8">
        <f>F35+E36</f>
        <v>292.40000000000003</v>
      </c>
      <c r="G37" s="47"/>
      <c r="H37" s="26">
        <f>H35+G36+J37+K37</f>
        <v>0.6260922619047617</v>
      </c>
      <c r="I37" s="28">
        <f>$I$1+H37+J37</f>
        <v>0.7510922619047617</v>
      </c>
      <c r="J37" s="36"/>
      <c r="K37" s="70">
        <v>0.005555555555555556</v>
      </c>
    </row>
    <row r="38" spans="1:11" ht="13.5">
      <c r="A38" s="5"/>
      <c r="B38" s="7"/>
      <c r="C38" s="7"/>
      <c r="D38" s="54">
        <f>D39-D37</f>
        <v>51</v>
      </c>
      <c r="E38" s="6">
        <v>10.9</v>
      </c>
      <c r="F38" s="7"/>
      <c r="G38" s="48">
        <f>E38/B39/24</f>
        <v>0.017810457516339872</v>
      </c>
      <c r="H38" s="25"/>
      <c r="I38" s="50"/>
      <c r="K38" s="71"/>
    </row>
    <row r="39" spans="1:11" s="1" customFormat="1" ht="13.5">
      <c r="A39" s="2" t="s">
        <v>9</v>
      </c>
      <c r="B39" s="3">
        <f>IF(A39="平坦",25.5,IF(A39="上り",10,IF(A39="やや上り",20,IF(A39="激下り",40,35))))</f>
        <v>25.5</v>
      </c>
      <c r="C39" s="4" t="s">
        <v>61</v>
      </c>
      <c r="D39" s="47">
        <v>524</v>
      </c>
      <c r="E39" s="4"/>
      <c r="F39" s="8">
        <f>F37+E38</f>
        <v>303.3</v>
      </c>
      <c r="G39" s="47"/>
      <c r="H39" s="26">
        <f>H37+G38+J39+K39</f>
        <v>0.6494582749766572</v>
      </c>
      <c r="I39" s="28">
        <f>$I$1+H39+J39</f>
        <v>0.7744582749766572</v>
      </c>
      <c r="J39" s="36"/>
      <c r="K39" s="70">
        <v>0.005555555555555556</v>
      </c>
    </row>
    <row r="40" spans="1:11" ht="13.5">
      <c r="A40" s="57"/>
      <c r="B40" s="58"/>
      <c r="C40" s="58"/>
      <c r="D40" s="59">
        <f>D41-D39</f>
        <v>-519</v>
      </c>
      <c r="E40" s="6">
        <v>24.14</v>
      </c>
      <c r="F40" s="58"/>
      <c r="G40" s="48">
        <f>E40/B41/24</f>
        <v>0.02873809523809524</v>
      </c>
      <c r="H40" s="60"/>
      <c r="I40" s="61"/>
      <c r="K40" s="71"/>
    </row>
    <row r="41" spans="1:11" s="1" customFormat="1" ht="13.5">
      <c r="A41" s="2" t="s">
        <v>11</v>
      </c>
      <c r="B41" s="3">
        <f>IF(A41="平坦",25.5,IF(A41="上り",10,IF(A41="やや上り",20,IF(A41="激下り",40,35))))</f>
        <v>35</v>
      </c>
      <c r="C41" s="4" t="s">
        <v>62</v>
      </c>
      <c r="D41" s="47">
        <v>5</v>
      </c>
      <c r="E41" s="4"/>
      <c r="F41" s="8">
        <f>F39+E40</f>
        <v>327.44</v>
      </c>
      <c r="G41" s="47"/>
      <c r="H41" s="26">
        <f>H39+G40+J41+K41</f>
        <v>0.6941685924369746</v>
      </c>
      <c r="I41" s="28">
        <f>$I$1+H41+J41</f>
        <v>0.8295852591036412</v>
      </c>
      <c r="J41" s="36">
        <v>0.010416666666666666</v>
      </c>
      <c r="K41" s="70">
        <v>0.005555555555555556</v>
      </c>
    </row>
    <row r="42" spans="1:11" ht="13.5">
      <c r="A42" s="5"/>
      <c r="B42" s="7"/>
      <c r="C42" s="7"/>
      <c r="D42" s="54">
        <f>D43-D41</f>
        <v>-1</v>
      </c>
      <c r="E42" s="6">
        <v>42.69</v>
      </c>
      <c r="F42" s="7"/>
      <c r="G42" s="48">
        <f>E42/B43/24</f>
        <v>0.06975490196078431</v>
      </c>
      <c r="H42" s="25"/>
      <c r="I42" s="50"/>
      <c r="K42" s="71"/>
    </row>
    <row r="43" spans="1:11" s="1" customFormat="1" ht="13.5">
      <c r="A43" s="2" t="s">
        <v>9</v>
      </c>
      <c r="B43" s="3">
        <f>IF(A43="平坦",25.5,IF(A43="上り",10,IF(A43="やや上り",20,IF(A43="激下り",40,35))))</f>
        <v>25.5</v>
      </c>
      <c r="C43" s="4" t="s">
        <v>63</v>
      </c>
      <c r="D43" s="47">
        <v>4</v>
      </c>
      <c r="E43" s="4"/>
      <c r="F43" s="8">
        <f>F41+E42</f>
        <v>370.13</v>
      </c>
      <c r="G43" s="47"/>
      <c r="H43" s="26">
        <f>H41+G42+J43+K43</f>
        <v>0.7694790499533144</v>
      </c>
      <c r="I43" s="28">
        <f>$I$1+H43+J43</f>
        <v>0.8944790499533144</v>
      </c>
      <c r="J43" s="36"/>
      <c r="K43" s="70">
        <v>0.005555555555555556</v>
      </c>
    </row>
    <row r="44" spans="1:11" ht="13.5">
      <c r="A44" s="15"/>
      <c r="B44" s="16"/>
      <c r="C44" s="16"/>
      <c r="D44" s="62">
        <f>SUM(D4,D6,D8,D12,D14,D16,D20,D22,D26,D28,D34,D38)</f>
        <v>2487</v>
      </c>
      <c r="E44" s="16">
        <f>SUM(E3:E43)</f>
        <v>370.13</v>
      </c>
      <c r="F44" s="16"/>
      <c r="G44" s="49">
        <f>SUM(G3:G43)</f>
        <v>0.6139234943977592</v>
      </c>
      <c r="H44" s="27"/>
      <c r="I44" s="30"/>
      <c r="K44" s="72"/>
    </row>
    <row r="45" spans="1:7" ht="13.5">
      <c r="A45" t="s">
        <v>42</v>
      </c>
      <c r="B45" s="44">
        <f>E45/G45</f>
        <v>25.120529632868898</v>
      </c>
      <c r="D45" s="55">
        <f>SUM(B45:C45,D10,D18,D24,D30,D32,D36,D40,D42)</f>
        <v>-2495.879470367131</v>
      </c>
      <c r="E45" s="45">
        <f>SUM(E3:E43)</f>
        <v>370.13</v>
      </c>
      <c r="G45" s="44">
        <f>G44*24</f>
        <v>14.73416386554622</v>
      </c>
    </row>
    <row r="46" ht="13.5">
      <c r="D46" s="55"/>
    </row>
  </sheetData>
  <sheetProtection/>
  <conditionalFormatting sqref="A3:A44">
    <cfRule type="cellIs" priority="1" dxfId="0" operator="equal" stopIfTrue="1">
      <formula>"上り"</formula>
    </cfRule>
  </conditionalFormatting>
  <printOptions/>
  <pageMargins left="0.7086614173228347" right="0.31" top="0.25" bottom="0.23" header="0.21" footer="0.1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zoomScalePageLayoutView="0" workbookViewId="0" topLeftCell="A19">
      <selection activeCell="C3" sqref="C3"/>
    </sheetView>
  </sheetViews>
  <sheetFormatPr defaultColWidth="9.00390625" defaultRowHeight="13.5"/>
  <cols>
    <col min="1" max="1" width="8.00390625" style="0" customWidth="1"/>
    <col min="2" max="2" width="9.50390625" style="0" customWidth="1"/>
    <col min="3" max="3" width="24.875" style="0" bestFit="1" customWidth="1"/>
    <col min="4" max="4" width="9.125" style="0" customWidth="1"/>
    <col min="5" max="5" width="15.75390625" style="0" customWidth="1"/>
    <col min="6" max="6" width="12.875" style="0" bestFit="1" customWidth="1"/>
    <col min="7" max="7" width="18.75390625" style="0" bestFit="1" customWidth="1"/>
    <col min="8" max="8" width="14.00390625" style="0" bestFit="1" customWidth="1"/>
    <col min="9" max="9" width="15.00390625" style="0" bestFit="1" customWidth="1"/>
    <col min="10" max="10" width="10.25390625" style="34" bestFit="1" customWidth="1"/>
    <col min="11" max="11" width="10.75390625" style="31" customWidth="1"/>
    <col min="12" max="12" width="18.75390625" style="31" customWidth="1"/>
  </cols>
  <sheetData>
    <row r="1" spans="2:12" s="22" customFormat="1" ht="13.5">
      <c r="B1" s="23" t="s">
        <v>24</v>
      </c>
      <c r="D1" s="24" t="s">
        <v>23</v>
      </c>
      <c r="H1" s="22" t="s">
        <v>2</v>
      </c>
      <c r="I1" s="38">
        <v>0.06666666666666667</v>
      </c>
      <c r="J1" s="34"/>
      <c r="K1" s="31"/>
      <c r="L1" s="31"/>
    </row>
    <row r="2" spans="1:12" s="17" customFormat="1" ht="14.25">
      <c r="A2" s="18" t="s">
        <v>12</v>
      </c>
      <c r="B2" s="19" t="s">
        <v>13</v>
      </c>
      <c r="C2" s="20" t="s">
        <v>0</v>
      </c>
      <c r="D2" s="20" t="s">
        <v>21</v>
      </c>
      <c r="E2" s="20" t="s">
        <v>20</v>
      </c>
      <c r="F2" s="20" t="s">
        <v>19</v>
      </c>
      <c r="G2" s="20" t="s">
        <v>22</v>
      </c>
      <c r="H2" s="20" t="s">
        <v>18</v>
      </c>
      <c r="I2" s="21" t="s">
        <v>1</v>
      </c>
      <c r="J2" s="35" t="s">
        <v>27</v>
      </c>
      <c r="K2" s="32" t="s">
        <v>29</v>
      </c>
      <c r="L2" s="32"/>
    </row>
    <row r="3" spans="1:12" s="1" customFormat="1" ht="13.5">
      <c r="A3" s="2" t="s">
        <v>9</v>
      </c>
      <c r="B3" s="3">
        <f>IF(A3="平坦",25.5,IF(A3="上り",10,IF(A3="やや上り",15,IF(A3="激下り",40,35))))</f>
        <v>25.5</v>
      </c>
      <c r="C3" s="4" t="s">
        <v>30</v>
      </c>
      <c r="D3" s="4"/>
      <c r="E3" s="4"/>
      <c r="F3" s="4"/>
      <c r="G3" s="4"/>
      <c r="H3" s="4"/>
      <c r="I3" s="28"/>
      <c r="J3" s="36"/>
      <c r="K3" s="33"/>
      <c r="L3" s="33"/>
    </row>
    <row r="4" spans="1:9" ht="13.5">
      <c r="A4" s="5"/>
      <c r="B4" s="6"/>
      <c r="C4" s="7"/>
      <c r="D4" s="7"/>
      <c r="E4" s="39">
        <v>10.5</v>
      </c>
      <c r="F4" s="7"/>
      <c r="G4" s="25">
        <f>E4/B5/24</f>
        <v>0.017156862745098037</v>
      </c>
      <c r="H4" s="25"/>
      <c r="I4" s="29"/>
    </row>
    <row r="5" spans="1:12" s="1" customFormat="1" ht="13.5">
      <c r="A5" s="2" t="s">
        <v>9</v>
      </c>
      <c r="B5" s="3">
        <f>IF(A5="平坦",25.5,IF(A5="上り",10,IF(A5="やや上り",15,IF(A5="激下り",40,35))))</f>
        <v>25.5</v>
      </c>
      <c r="C5" s="4" t="s">
        <v>31</v>
      </c>
      <c r="D5" s="13">
        <v>100</v>
      </c>
      <c r="E5" s="3"/>
      <c r="F5" s="8">
        <f>F3+E4</f>
        <v>10.5</v>
      </c>
      <c r="G5" s="9"/>
      <c r="H5" s="26">
        <f>G4+J5</f>
        <v>0.017156862745098037</v>
      </c>
      <c r="I5" s="28">
        <f>$I$1+H5+J5</f>
        <v>0.0838235294117647</v>
      </c>
      <c r="J5" s="36"/>
      <c r="K5" s="33"/>
      <c r="L5" s="33"/>
    </row>
    <row r="6" spans="1:9" ht="13.5">
      <c r="A6" s="5"/>
      <c r="B6" s="6"/>
      <c r="C6" s="7"/>
      <c r="D6" s="7">
        <f>D7-D5</f>
        <v>100</v>
      </c>
      <c r="E6" s="6">
        <v>13</v>
      </c>
      <c r="F6" s="10"/>
      <c r="G6" s="25">
        <f>E6/B7/24</f>
        <v>0.021241830065359475</v>
      </c>
      <c r="H6" s="25"/>
      <c r="I6" s="29"/>
    </row>
    <row r="7" spans="1:12" s="1" customFormat="1" ht="13.5">
      <c r="A7" s="2" t="s">
        <v>9</v>
      </c>
      <c r="B7" s="3">
        <f>IF(A7="平坦",25.5,IF(A7="上り",10,IF(A7="やや上り",15,IF(A7="激下り",40,35))))</f>
        <v>25.5</v>
      </c>
      <c r="C7" s="4" t="s">
        <v>32</v>
      </c>
      <c r="D7" s="13">
        <v>200</v>
      </c>
      <c r="E7" s="3"/>
      <c r="F7" s="8">
        <f>F5+E6</f>
        <v>23.5</v>
      </c>
      <c r="G7" s="9"/>
      <c r="H7" s="26">
        <f>H5+G6+J7</f>
        <v>0.03839869281045751</v>
      </c>
      <c r="I7" s="28">
        <f>$I$1+H7+J7</f>
        <v>0.10506535947712417</v>
      </c>
      <c r="J7" s="36"/>
      <c r="K7" s="33"/>
      <c r="L7" s="33"/>
    </row>
    <row r="8" spans="1:9" ht="13.5">
      <c r="A8" s="12"/>
      <c r="B8" s="6"/>
      <c r="C8" s="7"/>
      <c r="D8" s="7">
        <f>D9-D7</f>
        <v>50</v>
      </c>
      <c r="E8" s="6">
        <v>8.7</v>
      </c>
      <c r="F8" s="10"/>
      <c r="G8" s="25">
        <f>E8/B9/24</f>
        <v>0.014215686274509802</v>
      </c>
      <c r="H8" s="25"/>
      <c r="I8" s="29"/>
    </row>
    <row r="9" spans="1:12" s="1" customFormat="1" ht="13.5">
      <c r="A9" s="2" t="s">
        <v>9</v>
      </c>
      <c r="B9" s="3">
        <f>IF(A9="平坦",25.5,IF(A9="上り",10,IF(A9="やや上り",15,IF(A9="激下り",40,35))))</f>
        <v>25.5</v>
      </c>
      <c r="C9" s="4" t="s">
        <v>33</v>
      </c>
      <c r="D9" s="13">
        <v>250</v>
      </c>
      <c r="E9" s="3"/>
      <c r="F9" s="8">
        <f>F7+E8</f>
        <v>32.2</v>
      </c>
      <c r="G9" s="9"/>
      <c r="H9" s="26">
        <f>H7+G8+J9</f>
        <v>0.052614379084967314</v>
      </c>
      <c r="I9" s="28">
        <f>$I$1+H9+J9</f>
        <v>0.11928104575163398</v>
      </c>
      <c r="J9" s="36"/>
      <c r="K9" s="37"/>
      <c r="L9" s="33"/>
    </row>
    <row r="10" spans="1:9" ht="13.5">
      <c r="A10" s="12"/>
      <c r="B10" s="6"/>
      <c r="C10" s="7"/>
      <c r="D10" s="7">
        <f>D11-D9</f>
        <v>50</v>
      </c>
      <c r="E10" s="6">
        <v>23</v>
      </c>
      <c r="F10" s="10"/>
      <c r="G10" s="25">
        <f>E10/B11/24</f>
        <v>0.03758169934640523</v>
      </c>
      <c r="H10" s="25"/>
      <c r="I10" s="29"/>
    </row>
    <row r="11" spans="1:12" s="1" customFormat="1" ht="13.5">
      <c r="A11" s="11" t="s">
        <v>9</v>
      </c>
      <c r="B11" s="3">
        <f>IF(A11="平坦",25.5,IF(A11="上り",10,IF(A11="やや上り",15,IF(A11="激下り",40,35))))</f>
        <v>25.5</v>
      </c>
      <c r="C11" s="4" t="s">
        <v>34</v>
      </c>
      <c r="D11" s="13">
        <v>300</v>
      </c>
      <c r="E11" s="3"/>
      <c r="F11" s="8">
        <f>F9+E10</f>
        <v>55.2</v>
      </c>
      <c r="G11" s="9"/>
      <c r="H11" s="26">
        <f>H9+G10+J11</f>
        <v>0.09366830065359476</v>
      </c>
      <c r="I11" s="51">
        <f>$I$1+H11+J11</f>
        <v>0.16380718954248363</v>
      </c>
      <c r="J11" s="36">
        <v>0.003472222222222222</v>
      </c>
      <c r="K11" s="37">
        <f>SUM(E4:E10)</f>
        <v>55.2</v>
      </c>
      <c r="L11" s="33" t="s">
        <v>39</v>
      </c>
    </row>
    <row r="12" spans="1:9" ht="13.5">
      <c r="A12" s="12"/>
      <c r="B12" s="6"/>
      <c r="C12" s="7"/>
      <c r="D12" s="7">
        <f>D13-D11</f>
        <v>50</v>
      </c>
      <c r="E12" s="6">
        <v>27</v>
      </c>
      <c r="F12" s="10"/>
      <c r="G12" s="25">
        <f>E12/B13/24</f>
        <v>0.04411764705882353</v>
      </c>
      <c r="H12" s="25"/>
      <c r="I12" s="50"/>
    </row>
    <row r="13" spans="1:12" s="1" customFormat="1" ht="13.5">
      <c r="A13" s="11" t="s">
        <v>9</v>
      </c>
      <c r="B13" s="3">
        <f>IF(A13="平坦",25.5,IF(A13="上り",10,IF(A13="やや上り",15,IF(A13="激下り",40,35))))</f>
        <v>25.5</v>
      </c>
      <c r="C13" s="4" t="s">
        <v>35</v>
      </c>
      <c r="D13" s="13">
        <v>350</v>
      </c>
      <c r="E13" s="3"/>
      <c r="F13" s="8">
        <f>F11+E12</f>
        <v>82.2</v>
      </c>
      <c r="G13" s="9"/>
      <c r="H13" s="26">
        <f>H11+G12+J13</f>
        <v>0.1412581699346405</v>
      </c>
      <c r="I13" s="51">
        <f>$I$1+H13+J13</f>
        <v>0.21139705882352938</v>
      </c>
      <c r="J13" s="36">
        <v>0.003472222222222222</v>
      </c>
      <c r="K13" s="37">
        <f>SUM(E12)</f>
        <v>27</v>
      </c>
      <c r="L13" s="33" t="s">
        <v>39</v>
      </c>
    </row>
    <row r="14" spans="1:9" ht="13.5">
      <c r="A14" s="12"/>
      <c r="B14" s="6"/>
      <c r="C14" s="7"/>
      <c r="D14" s="7">
        <f>D15-D13</f>
        <v>0</v>
      </c>
      <c r="E14" s="6">
        <v>37.3</v>
      </c>
      <c r="F14" s="10"/>
      <c r="G14" s="25">
        <f>E14/B15/24</f>
        <v>0.06094771241830065</v>
      </c>
      <c r="H14" s="25"/>
      <c r="I14" s="50"/>
    </row>
    <row r="15" spans="1:12" s="1" customFormat="1" ht="13.5">
      <c r="A15" s="11" t="s">
        <v>9</v>
      </c>
      <c r="B15" s="3">
        <f>IF(A15="平坦",25.5,IF(A15="上り",10,IF(A15="やや上り",15,IF(A15="激下り",40,35))))</f>
        <v>25.5</v>
      </c>
      <c r="C15" s="4" t="s">
        <v>36</v>
      </c>
      <c r="D15" s="13">
        <v>350</v>
      </c>
      <c r="E15" s="3"/>
      <c r="F15" s="8">
        <f>F13+E14</f>
        <v>119.5</v>
      </c>
      <c r="G15" s="9"/>
      <c r="H15" s="26">
        <f>H13+G14+J15</f>
        <v>0.20567810457516336</v>
      </c>
      <c r="I15" s="51">
        <f>$I$1+H15+J15</f>
        <v>0.27581699346405225</v>
      </c>
      <c r="J15" s="36">
        <v>0.003472222222222222</v>
      </c>
      <c r="K15" s="37">
        <f>SUM(E14)</f>
        <v>37.3</v>
      </c>
      <c r="L15" s="33" t="s">
        <v>39</v>
      </c>
    </row>
    <row r="16" spans="1:9" ht="13.5">
      <c r="A16" s="12"/>
      <c r="B16" s="6"/>
      <c r="C16" s="7"/>
      <c r="D16" s="7">
        <f>D17-D15</f>
        <v>50</v>
      </c>
      <c r="E16" s="6">
        <v>20.2</v>
      </c>
      <c r="F16" s="10"/>
      <c r="G16" s="48">
        <f>E16/B17/24</f>
        <v>0.05611111111111111</v>
      </c>
      <c r="H16" s="25"/>
      <c r="I16" s="50"/>
    </row>
    <row r="17" spans="1:12" s="1" customFormat="1" ht="13.5">
      <c r="A17" s="11" t="s">
        <v>25</v>
      </c>
      <c r="B17" s="3">
        <f>IF(A17="平坦",25.5,IF(A17="上り",10,IF(A17="やや上り",15,IF(A17="激下り",40,35))))</f>
        <v>15</v>
      </c>
      <c r="C17" s="4" t="s">
        <v>37</v>
      </c>
      <c r="D17" s="13">
        <v>400</v>
      </c>
      <c r="E17" s="3"/>
      <c r="F17" s="8">
        <f>F15+E16</f>
        <v>139.7</v>
      </c>
      <c r="G17" s="46"/>
      <c r="H17" s="26">
        <f>H15+G16+J17</f>
        <v>0.27220588235294113</v>
      </c>
      <c r="I17" s="51">
        <f>$I$1+H17+J17</f>
        <v>0.34928921568627447</v>
      </c>
      <c r="J17" s="36">
        <v>0.010416666666666666</v>
      </c>
      <c r="K17" s="37">
        <f>SUM(E16)</f>
        <v>20.2</v>
      </c>
      <c r="L17" s="43" t="s">
        <v>40</v>
      </c>
    </row>
    <row r="18" spans="1:9" ht="13.5">
      <c r="A18" s="12"/>
      <c r="B18" s="6"/>
      <c r="C18" s="7"/>
      <c r="D18" s="7">
        <f>D19-D17</f>
        <v>558</v>
      </c>
      <c r="E18" s="6">
        <v>16.2</v>
      </c>
      <c r="F18" s="10"/>
      <c r="G18" s="48">
        <f>E18/B19/24</f>
        <v>0.06749999999999999</v>
      </c>
      <c r="H18" s="25"/>
      <c r="I18" s="50"/>
    </row>
    <row r="19" spans="1:12" s="1" customFormat="1" ht="13.5">
      <c r="A19" s="11" t="s">
        <v>10</v>
      </c>
      <c r="B19" s="3">
        <f>IF(A19="平坦",25.5,IF(A19="上り",10,IF(A19="やや上り",15,IF(A19="激下り",40,35))))</f>
        <v>10</v>
      </c>
      <c r="C19" s="4" t="s">
        <v>38</v>
      </c>
      <c r="D19" s="4">
        <v>958</v>
      </c>
      <c r="E19" s="3"/>
      <c r="F19" s="8">
        <f>F17+E18</f>
        <v>155.89999999999998</v>
      </c>
      <c r="G19" s="46"/>
      <c r="H19" s="26">
        <f>H17+G18+J19</f>
        <v>0.33970588235294114</v>
      </c>
      <c r="I19" s="51">
        <f>$I$1+H19+J19</f>
        <v>0.4063725490196078</v>
      </c>
      <c r="J19" s="36"/>
      <c r="K19" s="33"/>
      <c r="L19" s="33"/>
    </row>
    <row r="20" spans="1:9" ht="13.5">
      <c r="A20" s="12"/>
      <c r="B20" s="6"/>
      <c r="C20" s="7"/>
      <c r="D20" s="40">
        <f>D21-D19</f>
        <v>-58</v>
      </c>
      <c r="E20" s="6">
        <v>5.6</v>
      </c>
      <c r="F20" s="10"/>
      <c r="G20" s="48">
        <f>E20/B21/24</f>
        <v>0.009150326797385621</v>
      </c>
      <c r="H20" s="25"/>
      <c r="I20" s="50"/>
    </row>
    <row r="21" spans="1:12" s="1" customFormat="1" ht="13.5">
      <c r="A21" s="11" t="s">
        <v>9</v>
      </c>
      <c r="B21" s="3">
        <f>IF(A21="平坦",25.5,IF(A21="上り",10,IF(A21="やや上り",15,IF(A21="激下り",40,35))))</f>
        <v>25.5</v>
      </c>
      <c r="C21" s="4" t="s">
        <v>3</v>
      </c>
      <c r="D21" s="13">
        <v>900</v>
      </c>
      <c r="E21" s="3"/>
      <c r="F21" s="8">
        <f>F19+E20</f>
        <v>161.49999999999997</v>
      </c>
      <c r="G21" s="46"/>
      <c r="H21" s="26">
        <f>H19+G20+J21</f>
        <v>0.35927287581699346</v>
      </c>
      <c r="I21" s="51">
        <f>$I$1+H21+J21</f>
        <v>0.4363562091503268</v>
      </c>
      <c r="J21" s="36">
        <v>0.010416666666666666</v>
      </c>
      <c r="K21" s="37">
        <f>SUM(E18:E20)</f>
        <v>21.799999999999997</v>
      </c>
      <c r="L21" s="33" t="s">
        <v>41</v>
      </c>
    </row>
    <row r="22" spans="1:9" ht="13.5">
      <c r="A22" s="12"/>
      <c r="B22" s="6"/>
      <c r="C22" s="7"/>
      <c r="D22" s="40">
        <f>D23-D21</f>
        <v>506</v>
      </c>
      <c r="E22" s="6">
        <v>10</v>
      </c>
      <c r="F22" s="10"/>
      <c r="G22" s="48">
        <f>E22/B23/24</f>
        <v>0.041666666666666664</v>
      </c>
      <c r="H22" s="25"/>
      <c r="I22" s="50"/>
    </row>
    <row r="23" spans="1:12" s="1" customFormat="1" ht="13.5">
      <c r="A23" s="11" t="s">
        <v>10</v>
      </c>
      <c r="B23" s="3">
        <f>IF(A23="平坦",25.5,IF(A23="上り",10,IF(A23="やや上り",15,IF(A23="激下り",40,35))))</f>
        <v>10</v>
      </c>
      <c r="C23" s="4" t="s">
        <v>4</v>
      </c>
      <c r="D23" s="4">
        <v>1406</v>
      </c>
      <c r="E23" s="3"/>
      <c r="F23" s="8">
        <f>F21+E22</f>
        <v>171.49999999999997</v>
      </c>
      <c r="G23" s="46"/>
      <c r="H23" s="26">
        <f>H21+G22+J23</f>
        <v>0.40441176470588236</v>
      </c>
      <c r="I23" s="51">
        <f>$I$1+H23+J23</f>
        <v>0.4745506535947712</v>
      </c>
      <c r="J23" s="36">
        <v>0.003472222222222222</v>
      </c>
      <c r="K23" s="33"/>
      <c r="L23" s="33"/>
    </row>
    <row r="24" spans="1:9" ht="13.5">
      <c r="A24" s="12"/>
      <c r="B24" s="6"/>
      <c r="C24" s="7"/>
      <c r="D24" s="40">
        <f>D25-D23</f>
        <v>-806</v>
      </c>
      <c r="E24" s="6">
        <v>21.3</v>
      </c>
      <c r="F24" s="10"/>
      <c r="G24" s="48">
        <f>E24/B25/24</f>
        <v>0.025357142857142856</v>
      </c>
      <c r="H24" s="25"/>
      <c r="I24" s="50"/>
    </row>
    <row r="25" spans="1:12" s="1" customFormat="1" ht="13.5">
      <c r="A25" s="11" t="s">
        <v>11</v>
      </c>
      <c r="B25" s="3">
        <f>IF(A25="平坦",25.5,IF(A25="上り",10,IF(A25="やや上り",15,IF(A25="激下り",40,35))))</f>
        <v>35</v>
      </c>
      <c r="C25" s="4" t="s">
        <v>5</v>
      </c>
      <c r="D25" s="13">
        <v>600</v>
      </c>
      <c r="E25" s="3"/>
      <c r="F25" s="8">
        <f>F23+E24</f>
        <v>192.79999999999998</v>
      </c>
      <c r="G25" s="46"/>
      <c r="H25" s="26">
        <f>H23+G24+J25</f>
        <v>0.4297689075630252</v>
      </c>
      <c r="I25" s="51">
        <f>$I$1+H25+J25</f>
        <v>0.49643557422969187</v>
      </c>
      <c r="J25" s="36"/>
      <c r="K25" s="33"/>
      <c r="L25" s="33"/>
    </row>
    <row r="26" spans="1:9" ht="13.5">
      <c r="A26" s="12"/>
      <c r="B26" s="6"/>
      <c r="C26" s="7"/>
      <c r="D26" s="40">
        <f>D27-D25</f>
        <v>600</v>
      </c>
      <c r="E26" s="6">
        <v>9.8</v>
      </c>
      <c r="F26" s="10"/>
      <c r="G26" s="48">
        <f>E26/B27/24</f>
        <v>0.04083333333333334</v>
      </c>
      <c r="H26" s="25"/>
      <c r="I26" s="50"/>
    </row>
    <row r="27" spans="1:12" s="1" customFormat="1" ht="13.5">
      <c r="A27" s="11" t="s">
        <v>10</v>
      </c>
      <c r="B27" s="3">
        <f>IF(A27="平坦",25.5,IF(A27="上り",10,IF(A27="やや上り",15,IF(A27="激下り",40,35))))</f>
        <v>10</v>
      </c>
      <c r="C27" s="4" t="s">
        <v>6</v>
      </c>
      <c r="D27" s="14">
        <v>1200</v>
      </c>
      <c r="E27" s="3"/>
      <c r="F27" s="8">
        <f>F25+E26</f>
        <v>202.6</v>
      </c>
      <c r="G27" s="46"/>
      <c r="H27" s="26">
        <f>H25+G26+J27</f>
        <v>0.47407446311858076</v>
      </c>
      <c r="I27" s="51">
        <f>$I$1+H27+J27</f>
        <v>0.5442133520074697</v>
      </c>
      <c r="J27" s="36">
        <v>0.003472222222222222</v>
      </c>
      <c r="K27" s="33"/>
      <c r="L27" s="33"/>
    </row>
    <row r="28" spans="1:9" ht="13.5">
      <c r="A28" s="12"/>
      <c r="B28" s="6"/>
      <c r="C28" s="7"/>
      <c r="D28" s="40">
        <f>D29-D27</f>
        <v>972</v>
      </c>
      <c r="E28" s="6">
        <v>19.5</v>
      </c>
      <c r="F28" s="10"/>
      <c r="G28" s="48">
        <f>E28/B29/24</f>
        <v>0.08125</v>
      </c>
      <c r="H28" s="25"/>
      <c r="I28" s="50"/>
    </row>
    <row r="29" spans="1:12" s="1" customFormat="1" ht="13.5">
      <c r="A29" s="11" t="s">
        <v>10</v>
      </c>
      <c r="B29" s="3">
        <f>IF(A29="平坦",25.5,IF(A29="上り",10,IF(A29="やや上り",15,IF(A29="激下り",40,35))))</f>
        <v>10</v>
      </c>
      <c r="C29" s="4" t="s">
        <v>7</v>
      </c>
      <c r="D29" s="14">
        <v>2172</v>
      </c>
      <c r="E29" s="3"/>
      <c r="F29" s="8">
        <f>F27+E28</f>
        <v>222.1</v>
      </c>
      <c r="G29" s="46"/>
      <c r="H29" s="26">
        <f>H27+G28+J29</f>
        <v>0.558796685340803</v>
      </c>
      <c r="I29" s="51">
        <f>$I$1+H29+J29</f>
        <v>0.6289355742296918</v>
      </c>
      <c r="J29" s="36">
        <v>0.003472222222222222</v>
      </c>
      <c r="K29" s="33"/>
      <c r="L29" s="33"/>
    </row>
    <row r="30" spans="1:9" ht="13.5">
      <c r="A30" s="12"/>
      <c r="B30" s="6"/>
      <c r="C30" s="7"/>
      <c r="D30" s="40">
        <f>D31-D29</f>
        <v>-1572</v>
      </c>
      <c r="E30" s="6">
        <v>25.7</v>
      </c>
      <c r="F30" s="10"/>
      <c r="G30" s="48">
        <f>E30/B31/24</f>
        <v>0.02677083333333333</v>
      </c>
      <c r="H30" s="25"/>
      <c r="I30" s="50"/>
    </row>
    <row r="31" spans="1:12" s="1" customFormat="1" ht="13.5">
      <c r="A31" s="11" t="s">
        <v>26</v>
      </c>
      <c r="B31" s="3">
        <f>IF(A31="平坦",25.5,IF(A31="上り",10,IF(A31="やや上り",15,IF(A31="激下り",40,35))))</f>
        <v>40</v>
      </c>
      <c r="C31" s="4" t="s">
        <v>8</v>
      </c>
      <c r="D31" s="13">
        <v>600</v>
      </c>
      <c r="E31" s="4"/>
      <c r="F31" s="8">
        <f>F29+E30</f>
        <v>247.79999999999998</v>
      </c>
      <c r="G31" s="47"/>
      <c r="H31" s="26">
        <f>H29+G30+J31</f>
        <v>0.5994564075630251</v>
      </c>
      <c r="I31" s="51">
        <f>$I$1+H31+J31</f>
        <v>0.6800119631185806</v>
      </c>
      <c r="J31" s="36">
        <v>0.013888888888888888</v>
      </c>
      <c r="K31" s="37">
        <f>SUM(E22:E30)</f>
        <v>86.3</v>
      </c>
      <c r="L31" s="33" t="s">
        <v>28</v>
      </c>
    </row>
    <row r="32" spans="1:9" ht="13.5">
      <c r="A32" s="5"/>
      <c r="B32" s="7"/>
      <c r="C32" s="7"/>
      <c r="D32" s="40">
        <f>D33-D31</f>
        <v>100</v>
      </c>
      <c r="E32" s="7">
        <v>23.8</v>
      </c>
      <c r="F32" s="7"/>
      <c r="G32" s="48">
        <f>E32/B33/24</f>
        <v>0.03888888888888889</v>
      </c>
      <c r="H32" s="25"/>
      <c r="I32" s="50"/>
    </row>
    <row r="33" spans="1:12" s="1" customFormat="1" ht="13.5">
      <c r="A33" s="2" t="s">
        <v>9</v>
      </c>
      <c r="B33" s="3">
        <f>IF(A33="平坦",25.5,IF(A33="上り",10,IF(A33="やや上り",15,IF(A33="激下り",40,35))))</f>
        <v>25.5</v>
      </c>
      <c r="C33" s="4" t="s">
        <v>14</v>
      </c>
      <c r="D33" s="13">
        <v>700</v>
      </c>
      <c r="E33" s="4"/>
      <c r="F33" s="8">
        <f>F31+E32</f>
        <v>271.59999999999997</v>
      </c>
      <c r="G33" s="47"/>
      <c r="H33" s="26">
        <f>H31+G32+J33</f>
        <v>0.638345296451914</v>
      </c>
      <c r="I33" s="51">
        <f>$I$1+H33+J33</f>
        <v>0.7050119631185806</v>
      </c>
      <c r="J33" s="36"/>
      <c r="K33" s="33"/>
      <c r="L33" s="33"/>
    </row>
    <row r="34" spans="1:9" ht="13.5">
      <c r="A34" s="5"/>
      <c r="B34" s="7"/>
      <c r="C34" s="7"/>
      <c r="D34" s="40">
        <f>D35-D33</f>
        <v>400</v>
      </c>
      <c r="E34" s="7">
        <v>14.9</v>
      </c>
      <c r="F34" s="7"/>
      <c r="G34" s="48">
        <f>E34/B35/24</f>
        <v>0.06208333333333333</v>
      </c>
      <c r="H34" s="25"/>
      <c r="I34" s="50"/>
    </row>
    <row r="35" spans="1:12" s="1" customFormat="1" ht="13.5">
      <c r="A35" s="2" t="s">
        <v>10</v>
      </c>
      <c r="B35" s="3">
        <f>IF(A35="平坦",25.5,IF(A35="上り",10,IF(A35="やや上り",15,IF(A35="激下り",40,35))))</f>
        <v>10</v>
      </c>
      <c r="C35" s="4" t="s">
        <v>15</v>
      </c>
      <c r="D35" s="4">
        <v>1100</v>
      </c>
      <c r="E35" s="4"/>
      <c r="F35" s="8">
        <f>F33+E34</f>
        <v>286.49999999999994</v>
      </c>
      <c r="G35" s="47"/>
      <c r="H35" s="26">
        <f>H33+G34+J35</f>
        <v>0.7039008520074695</v>
      </c>
      <c r="I35" s="51">
        <f>$I$1+H35+J35</f>
        <v>0.7740397408963584</v>
      </c>
      <c r="J35" s="36">
        <v>0.003472222222222222</v>
      </c>
      <c r="K35" s="33"/>
      <c r="L35" s="33"/>
    </row>
    <row r="36" spans="1:9" ht="13.5">
      <c r="A36" s="5"/>
      <c r="B36" s="7"/>
      <c r="C36" s="7"/>
      <c r="D36" s="40">
        <f>D37-D35</f>
        <v>-1000</v>
      </c>
      <c r="E36" s="7">
        <v>17.4</v>
      </c>
      <c r="F36" s="7"/>
      <c r="G36" s="48">
        <f>E36/B37/24</f>
        <v>0.020714285714285713</v>
      </c>
      <c r="H36" s="25"/>
      <c r="I36" s="50"/>
    </row>
    <row r="37" spans="1:12" s="1" customFormat="1" ht="13.5">
      <c r="A37" s="2" t="s">
        <v>11</v>
      </c>
      <c r="B37" s="3">
        <f>IF(A37="平坦",25.5,IF(A37="上り",10,IF(A37="やや上り",15,IF(A37="激下り",40,35))))</f>
        <v>35</v>
      </c>
      <c r="C37" s="4" t="s">
        <v>16</v>
      </c>
      <c r="D37" s="13">
        <v>100</v>
      </c>
      <c r="E37" s="4"/>
      <c r="F37" s="8">
        <f>F35+E36</f>
        <v>303.8999999999999</v>
      </c>
      <c r="G37" s="47"/>
      <c r="H37" s="26">
        <f>H35+G36+J37</f>
        <v>0.7246151377217552</v>
      </c>
      <c r="I37" s="51">
        <f>$I$1+H37+J37</f>
        <v>0.7912818043884219</v>
      </c>
      <c r="J37" s="36"/>
      <c r="K37" s="33"/>
      <c r="L37" s="33"/>
    </row>
    <row r="38" spans="1:9" ht="13.5">
      <c r="A38" s="5"/>
      <c r="B38" s="7"/>
      <c r="C38" s="7"/>
      <c r="D38" s="40">
        <f>D39-D37</f>
        <v>-100</v>
      </c>
      <c r="E38" s="7">
        <v>19.9</v>
      </c>
      <c r="F38" s="7"/>
      <c r="G38" s="48">
        <f>E38/B39/24</f>
        <v>0.03251633986928104</v>
      </c>
      <c r="H38" s="25"/>
      <c r="I38" s="50"/>
    </row>
    <row r="39" spans="1:12" s="1" customFormat="1" ht="13.5">
      <c r="A39" s="2" t="s">
        <v>9</v>
      </c>
      <c r="B39" s="3">
        <f>IF(A39="平坦",25.5,IF(A39="上り",10,IF(A39="やや上り",15,IF(A39="激下り",40,35))))</f>
        <v>25.5</v>
      </c>
      <c r="C39" s="4" t="s">
        <v>17</v>
      </c>
      <c r="D39" s="13">
        <v>0</v>
      </c>
      <c r="E39" s="4"/>
      <c r="F39" s="8">
        <f>F37+E38</f>
        <v>323.7999999999999</v>
      </c>
      <c r="G39" s="47"/>
      <c r="H39" s="26">
        <f>H37+G38+J39</f>
        <v>0.7571314775910363</v>
      </c>
      <c r="I39" s="51">
        <f>$I$1+H39+J39</f>
        <v>0.8237981442577029</v>
      </c>
      <c r="J39" s="36"/>
      <c r="K39" s="33">
        <f>SUM(E32:E38)</f>
        <v>76</v>
      </c>
      <c r="L39" s="33"/>
    </row>
    <row r="40" spans="1:9" ht="13.5">
      <c r="A40" s="15"/>
      <c r="B40" s="16"/>
      <c r="C40" s="16"/>
      <c r="D40" s="16">
        <f>SUM(D19,D23,D29,D35)</f>
        <v>5636</v>
      </c>
      <c r="E40" s="16">
        <f>SUM(E1:E39)</f>
        <v>323.7999999999999</v>
      </c>
      <c r="F40" s="16"/>
      <c r="G40" s="49">
        <f>SUM(G3:G39)</f>
        <v>0.6981036998132586</v>
      </c>
      <c r="H40" s="27"/>
      <c r="I40" s="30"/>
    </row>
    <row r="41" spans="1:7" ht="13.5">
      <c r="A41" t="s">
        <v>42</v>
      </c>
      <c r="B41" s="44">
        <f>E41/G41</f>
        <v>19.32616410753253</v>
      </c>
      <c r="D41" s="41">
        <f>SUM(D20,D24,D30,D36,D38)</f>
        <v>-3536</v>
      </c>
      <c r="E41" s="45">
        <f>SUM(E2:E39)</f>
        <v>323.7999999999999</v>
      </c>
      <c r="G41" s="44">
        <f>G40*24</f>
        <v>16.754488795518206</v>
      </c>
    </row>
    <row r="42" ht="13.5">
      <c r="D42" s="42"/>
    </row>
  </sheetData>
  <sheetProtection/>
  <conditionalFormatting sqref="A3:A40">
    <cfRule type="cellIs" priority="1" dxfId="0" operator="equal" stopIfTrue="1">
      <formula>"上り"</formula>
    </cfRule>
  </conditionalFormatting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pisport　masaru</dc:creator>
  <cp:keywords/>
  <dc:description/>
  <cp:lastModifiedBy> yamamoto</cp:lastModifiedBy>
  <cp:lastPrinted>2008-07-10T14:01:40Z</cp:lastPrinted>
  <dcterms:created xsi:type="dcterms:W3CDTF">2007-08-13T03:25:39Z</dcterms:created>
  <dcterms:modified xsi:type="dcterms:W3CDTF">2008-07-11T01:23:07Z</dcterms:modified>
  <cp:category/>
  <cp:version/>
  <cp:contentType/>
  <cp:contentStatus/>
</cp:coreProperties>
</file>